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wner\OneDrive\Desktop\401k Seminar\"/>
    </mc:Choice>
  </mc:AlternateContent>
  <bookViews>
    <workbookView xWindow="0" yWindow="0" windowWidth="16392" windowHeight="5592" tabRatio="738" activeTab="2"/>
  </bookViews>
  <sheets>
    <sheet name="IRS" sheetId="8" r:id="rId1"/>
    <sheet name="S&amp;P" sheetId="7" r:id="rId2"/>
    <sheet name="MaxPreTax IRA" sheetId="6" r:id="rId3"/>
    <sheet name="MaxPreTaxCalculations" sheetId="4" state="hidden" r:id="rId4"/>
    <sheet name="PreTax IRA Distribution" sheetId="9" r:id="rId5"/>
    <sheet name="Roth IRA" sheetId="12" r:id="rId6"/>
    <sheet name="RothCalculations" sheetId="14" state="hidden" r:id="rId7"/>
    <sheet name="ROTH Distribution" sheetId="13" r:id="rId8"/>
    <sheet name="Roth Info" sheetId="11" r:id="rId9"/>
    <sheet name="401k Calculator" sheetId="1" state="hidden" r:id="rId10"/>
    <sheet name="PSW_Sheet" sheetId="5" state="veryHidden" r:id="rId11"/>
  </sheets>
  <definedNames>
    <definedName name="CumList" localSheetId="6">RothCalculations!$C$3:$G$62</definedName>
    <definedName name="CumList">MaxPreTaxCalculations!$C$3:$G$62</definedName>
    <definedName name="CurrentAge" localSheetId="2">'MaxPreTax IRA'!$U$8</definedName>
    <definedName name="CurrentAge" localSheetId="5">'Roth IRA'!$U$8</definedName>
    <definedName name="CurrentAge">'401k Calculator'!$R$8</definedName>
    <definedName name="EmployerInitialCont" localSheetId="2">'MaxPreTax IRA'!$K$10</definedName>
    <definedName name="EmployerInitialCont" localSheetId="5">'Roth IRA'!$K$10</definedName>
    <definedName name="EmployerInitialCont">'401k Calculator'!$H$10</definedName>
    <definedName name="EmployerMatchRate" localSheetId="2">'MaxPreTax IRA'!$U$5</definedName>
    <definedName name="EmployerMatchRate" localSheetId="5">'Roth IRA'!$U$5</definedName>
    <definedName name="EmployerMatchRate">'401k Calculator'!$R$5</definedName>
    <definedName name="EmployerMatchUpTo" localSheetId="2">'MaxPreTax IRA'!$R$6</definedName>
    <definedName name="EmployerMatchUpTo" localSheetId="5">'Roth IRA'!$R$6</definedName>
    <definedName name="EmployerMatchUpTo">'401k Calculator'!$O$6</definedName>
    <definedName name="IncomeIncreaseRate" localSheetId="2">'MaxPreTax IRA'!$K$6</definedName>
    <definedName name="IncomeIncreaseRate" localSheetId="5">'Roth IRA'!$K$6</definedName>
    <definedName name="IncomeIncreaseRate">'401k Calculator'!$H$6</definedName>
    <definedName name="InitialBalance" localSheetId="2">'MaxPreTax IRA'!$K$8</definedName>
    <definedName name="InitialBalance" localSheetId="5">'Roth IRA'!$K$8</definedName>
    <definedName name="InitialBalance">'401k Calculator'!$H$8</definedName>
    <definedName name="InitialIncome" localSheetId="2">'MaxPreTax IRA'!$K$5</definedName>
    <definedName name="InitialIncome" localSheetId="5">'Roth IRA'!$K$5</definedName>
    <definedName name="InitialIncome">'401k Calculator'!$H$5</definedName>
    <definedName name="InterestRate" localSheetId="2">'MaxPreTax IRA'!$U$10</definedName>
    <definedName name="InterestRate" localSheetId="5">'Roth IRA'!$U$10</definedName>
    <definedName name="InterestRate">'401k Calculator'!$R$10</definedName>
    <definedName name="PaymentsPerYear" localSheetId="2">'MaxPreTax IRA'!$U$11</definedName>
    <definedName name="PaymentsPerYear" localSheetId="5">'Roth IRA'!$U$11</definedName>
    <definedName name="PaymentsPerYear">'401k Calculator'!$R$11</definedName>
    <definedName name="_xlnm.Print_Area" localSheetId="2">'MaxPreTax IRA'!$A$1:$AO$66</definedName>
    <definedName name="_xlnm.Print_Area" localSheetId="5">'Roth IRA'!$B$1:$AO$67</definedName>
    <definedName name="PSW_CALCULATE_0" localSheetId="2" hidden="1">'MaxPreTax IRA'!$Y$12</definedName>
    <definedName name="PSW_CALCULATE_0" localSheetId="5" hidden="1">'Roth IRA'!$Y$12</definedName>
    <definedName name="PSW_CALCULATE_0" hidden="1">'401k Calculator'!$V$12</definedName>
    <definedName name="PSWSeries_0_0_Labels" localSheetId="6" hidden="1">RothCalculations!$J$3:$J$12</definedName>
    <definedName name="PSWSeries_0_0_Labels" hidden="1">MaxPreTaxCalculations!$J$3:$J$12</definedName>
    <definedName name="PSWSeries_0_0_Values" localSheetId="6" hidden="1">RothCalculations!$K$3:$K$12</definedName>
    <definedName name="PSWSeries_0_0_Values" hidden="1">MaxPreTaxCalculations!$K$3:$K$12</definedName>
    <definedName name="PSWSeries_0_1_Labels" localSheetId="6" hidden="1">RothCalculations!$J$3:$J$12</definedName>
    <definedName name="PSWSeries_0_1_Labels" hidden="1">MaxPreTaxCalculations!$J$3:$J$12</definedName>
    <definedName name="PSWSeries_0_1_Values" localSheetId="6" hidden="1">RothCalculations!$L$3:$L$12</definedName>
    <definedName name="PSWSeries_0_1_Values" hidden="1">MaxPreTaxCalculations!$L$3:$L$12</definedName>
    <definedName name="PSWSeries_0_2_Labels" localSheetId="6" hidden="1">RothCalculations!$J$3:$J$12</definedName>
    <definedName name="PSWSeries_0_2_Labels" hidden="1">MaxPreTaxCalculations!$J$3:$J$12</definedName>
    <definedName name="PSWSeries_0_2_Values" localSheetId="6" hidden="1">RothCalculations!$M$3:$M$12</definedName>
    <definedName name="PSWSeries_0_2_Values" hidden="1">MaxPreTaxCalculations!$M$3:$M$12</definedName>
    <definedName name="PSWSeries_1_0_Labels" localSheetId="6" hidden="1">RothCalculations!$K$15:$K$17</definedName>
    <definedName name="PSWSeries_1_0_Labels" hidden="1">MaxPreTaxCalculations!$K$15:$K$17</definedName>
    <definedName name="PSWSeries_1_0_Values" localSheetId="6" hidden="1">RothCalculations!$L$15:$L$17</definedName>
    <definedName name="PSWSeries_1_0_Values" hidden="1">MaxPreTaxCalculations!$L$15:$L$17</definedName>
    <definedName name="PSWSeries_2_0_Labels" localSheetId="6" hidden="1">RothCalculations!$N$3:$N$12</definedName>
    <definedName name="PSWSeries_2_0_Labels" hidden="1">MaxPreTaxCalculations!$N$3:$N$12</definedName>
    <definedName name="PSWSeries_2_0_Values" localSheetId="6" hidden="1">RothCalculations!$O$3:$O$12</definedName>
    <definedName name="PSWSeries_2_0_Values" hidden="1">MaxPreTaxCalculations!$O$3:$O$12</definedName>
    <definedName name="RetirementAge" localSheetId="2">'MaxPreTax IRA'!$U$9</definedName>
    <definedName name="RetirementAge" localSheetId="5">'Roth IRA'!$U$9</definedName>
    <definedName name="RetirementAge">'401k Calculator'!$R$9</definedName>
    <definedName name="SpreadsheetWEBAction" hidden="1">PSW_Sheet!$K$1</definedName>
    <definedName name="SpreadsheetWEBApplicationId" hidden="1">PSW_Sheet!$F$1</definedName>
    <definedName name="SpreadsheetWEBAttachment" hidden="1">PSW_Sheet!$L$1</definedName>
    <definedName name="SpreadsheetwebCounter" hidden="1">PSW_Sheet!$O$1</definedName>
    <definedName name="SpreadsheetWEBDataEditID" hidden="1">PSW_Sheet!$H$1</definedName>
    <definedName name="SpreadsheetWEBDataID" hidden="1">PSW_Sheet!$G$1</definedName>
    <definedName name="SpreadsheetWEBInternalConnection" hidden="1">PSW_Sheet!$C$1</definedName>
    <definedName name="SpreadsheetwebNow" hidden="1">PSW_Sheet!$N$1</definedName>
    <definedName name="SpreadsheetWEBStatusIndex" hidden="1">PSW_Sheet!$I$1</definedName>
    <definedName name="SpreadsheetWEBUserEmail" hidden="1">PSW_Sheet!$J$1</definedName>
    <definedName name="SpreadsheetWEBUserInfo" hidden="1">PSW_Sheet!$M$1</definedName>
    <definedName name="SpreadsheetWEBUserName" hidden="1">PSW_Sheet!$D$1</definedName>
    <definedName name="SpreadsheetWEBUserRole" hidden="1">PSW_Sheet!$E$1</definedName>
    <definedName name="WithheldRate" localSheetId="2">'MaxPreTax IRA'!$K$11</definedName>
    <definedName name="WithheldRate" localSheetId="5">'Roth IRA'!$K$11</definedName>
    <definedName name="WithheldRate">'401k Calculator'!$H$11</definedName>
    <definedName name="YourInitialCont" localSheetId="2">'MaxPreTax IRA'!$K$9</definedName>
    <definedName name="YourInitialCont" localSheetId="5">'Roth IRA'!$K$9</definedName>
    <definedName name="YourInitialCont">'401k Calculator'!$H$9</definedName>
  </definedNames>
  <calcPr calcId="162913"/>
</workbook>
</file>

<file path=xl/calcChain.xml><?xml version="1.0" encoding="utf-8"?>
<calcChain xmlns="http://schemas.openxmlformats.org/spreadsheetml/2006/main">
  <c r="G12" i="13" l="1"/>
  <c r="O29" i="7" l="1"/>
  <c r="N29" i="7"/>
  <c r="M29" i="7"/>
  <c r="L29" i="7"/>
  <c r="K29" i="7"/>
  <c r="H39" i="4" l="1"/>
  <c r="H43" i="4"/>
  <c r="H47" i="4"/>
  <c r="H51" i="4"/>
  <c r="H55" i="4"/>
  <c r="H59"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H62" i="4"/>
  <c r="H61" i="4"/>
  <c r="H60" i="4"/>
  <c r="H58" i="4"/>
  <c r="H57" i="4"/>
  <c r="H56" i="4"/>
  <c r="H54" i="4"/>
  <c r="H53" i="4"/>
  <c r="H52" i="4"/>
  <c r="H50" i="4"/>
  <c r="H49" i="4"/>
  <c r="H48" i="4"/>
  <c r="H46" i="4"/>
  <c r="H45" i="4"/>
  <c r="H44" i="4"/>
  <c r="H42" i="4"/>
  <c r="H41" i="4"/>
  <c r="H40" i="4"/>
  <c r="H38" i="4"/>
  <c r="I2" i="4" l="1"/>
  <c r="R2" i="13"/>
  <c r="K13" i="12"/>
  <c r="N77" i="6"/>
  <c r="T10" i="13" l="1"/>
  <c r="J2" i="4"/>
  <c r="J12" i="4"/>
  <c r="N9" i="13"/>
  <c r="U10" i="12"/>
  <c r="L2" i="13" s="1"/>
  <c r="I2" i="14"/>
  <c r="K6" i="12"/>
  <c r="C24" i="13"/>
  <c r="C23" i="13"/>
  <c r="C21" i="13"/>
  <c r="C20" i="13"/>
  <c r="C77" i="12"/>
  <c r="B77" i="12"/>
  <c r="A77" i="12"/>
  <c r="K8" i="12"/>
  <c r="AI7" i="12"/>
  <c r="AF7" i="12"/>
  <c r="F98" i="7"/>
  <c r="N2" i="9"/>
  <c r="M4" i="8"/>
  <c r="J2" i="9"/>
  <c r="C20" i="9"/>
  <c r="C19" i="9" s="1"/>
  <c r="C18" i="9" s="1"/>
  <c r="C17" i="9" s="1"/>
  <c r="C16" i="9" s="1"/>
  <c r="C15" i="9" s="1"/>
  <c r="C21" i="9"/>
  <c r="D21" i="9" s="1"/>
  <c r="E17" i="6"/>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E59" i="6" s="1"/>
  <c r="E60" i="6" s="1"/>
  <c r="E61" i="6" s="1"/>
  <c r="E62" i="6" s="1"/>
  <c r="E63" i="6" s="1"/>
  <c r="E64" i="6" s="1"/>
  <c r="E65" i="6" s="1"/>
  <c r="E66" i="6" s="1"/>
  <c r="E67" i="6" s="1"/>
  <c r="E68" i="6" s="1"/>
  <c r="E69" i="6" s="1"/>
  <c r="E70" i="6" s="1"/>
  <c r="E71" i="6" s="1"/>
  <c r="E72" i="6" s="1"/>
  <c r="E73" i="6" s="1"/>
  <c r="E74" i="6" s="1"/>
  <c r="E75" i="6" s="1"/>
  <c r="E76" i="6" s="1"/>
  <c r="C23" i="9"/>
  <c r="C24" i="9" s="1"/>
  <c r="C25" i="9" s="1"/>
  <c r="C26" i="9" s="1"/>
  <c r="C27" i="9" s="1"/>
  <c r="C28" i="9" s="1"/>
  <c r="C29" i="9" s="1"/>
  <c r="C30" i="9" s="1"/>
  <c r="C31" i="9" s="1"/>
  <c r="C32" i="9" s="1"/>
  <c r="C33" i="9" s="1"/>
  <c r="C34" i="9" s="1"/>
  <c r="C35" i="9" s="1"/>
  <c r="C36" i="9" s="1"/>
  <c r="C37" i="9" s="1"/>
  <c r="C38" i="9" s="1"/>
  <c r="C39" i="9" s="1"/>
  <c r="C40" i="9" s="1"/>
  <c r="C41" i="9" s="1"/>
  <c r="C42" i="9" s="1"/>
  <c r="C43" i="9" s="1"/>
  <c r="C44" i="9" s="1"/>
  <c r="C45" i="9" s="1"/>
  <c r="C46" i="9" s="1"/>
  <c r="C47" i="9" s="1"/>
  <c r="C48" i="9" s="1"/>
  <c r="C49" i="9" s="1"/>
  <c r="C50" i="9" s="1"/>
  <c r="C51" i="9" s="1"/>
  <c r="C52" i="9" s="1"/>
  <c r="C53" i="9" s="1"/>
  <c r="H6" i="8"/>
  <c r="H7" i="8"/>
  <c r="H8" i="8"/>
  <c r="H9" i="8"/>
  <c r="H10" i="8"/>
  <c r="H5" i="8"/>
  <c r="J5" i="8" s="1"/>
  <c r="G9" i="8"/>
  <c r="M9" i="8" s="1"/>
  <c r="G10" i="8"/>
  <c r="G5" i="8"/>
  <c r="M5" i="8" s="1"/>
  <c r="G6" i="8"/>
  <c r="M6" i="8" s="1"/>
  <c r="G7" i="8"/>
  <c r="G8" i="8"/>
  <c r="J8" i="8" s="1"/>
  <c r="G4" i="8"/>
  <c r="J4" i="8" s="1"/>
  <c r="F43" i="7"/>
  <c r="E33" i="7"/>
  <c r="D23" i="7"/>
  <c r="C13" i="7"/>
  <c r="F76" i="6"/>
  <c r="C62" i="4" s="1"/>
  <c r="F75" i="6"/>
  <c r="C61" i="4" s="1"/>
  <c r="F74" i="6"/>
  <c r="C60" i="4" s="1"/>
  <c r="F73" i="6"/>
  <c r="F72" i="6"/>
  <c r="C58" i="4" s="1"/>
  <c r="F71" i="6"/>
  <c r="C57" i="4" s="1"/>
  <c r="F70" i="6"/>
  <c r="C56" i="4" s="1"/>
  <c r="F69" i="6"/>
  <c r="F68" i="6"/>
  <c r="C54" i="4" s="1"/>
  <c r="F67" i="6"/>
  <c r="C53" i="4" s="1"/>
  <c r="F66" i="6"/>
  <c r="C52" i="4" s="1"/>
  <c r="F65" i="6"/>
  <c r="F64" i="6"/>
  <c r="C50" i="4" s="1"/>
  <c r="F63" i="6"/>
  <c r="C49" i="4" s="1"/>
  <c r="F62" i="6"/>
  <c r="C48" i="4" s="1"/>
  <c r="F61" i="6"/>
  <c r="F60" i="6"/>
  <c r="C46" i="4" s="1"/>
  <c r="F59" i="6"/>
  <c r="C45" i="4" s="1"/>
  <c r="F58" i="6"/>
  <c r="F57" i="6"/>
  <c r="F56" i="6"/>
  <c r="F55" i="6"/>
  <c r="F54" i="6"/>
  <c r="F53" i="6"/>
  <c r="F52" i="6"/>
  <c r="F51" i="6"/>
  <c r="C37" i="4" s="1"/>
  <c r="F50" i="6"/>
  <c r="C36" i="4" s="1"/>
  <c r="F49" i="6"/>
  <c r="C35" i="4" s="1"/>
  <c r="F48" i="6"/>
  <c r="C34" i="4" s="1"/>
  <c r="F47" i="6"/>
  <c r="C33" i="4" s="1"/>
  <c r="F46" i="6"/>
  <c r="C32" i="4" s="1"/>
  <c r="F45" i="6"/>
  <c r="C31" i="4" s="1"/>
  <c r="F44" i="6"/>
  <c r="C30" i="4" s="1"/>
  <c r="F43" i="6"/>
  <c r="C29" i="4" s="1"/>
  <c r="F42" i="6"/>
  <c r="C28" i="4" s="1"/>
  <c r="F41" i="6"/>
  <c r="C27" i="4" s="1"/>
  <c r="F40" i="6"/>
  <c r="C26" i="4" s="1"/>
  <c r="F39" i="6"/>
  <c r="C25" i="4" s="1"/>
  <c r="F38" i="6"/>
  <c r="C24" i="4" s="1"/>
  <c r="F37" i="6"/>
  <c r="C23" i="4" s="1"/>
  <c r="F36" i="6"/>
  <c r="C22" i="4" s="1"/>
  <c r="F35" i="6"/>
  <c r="C21" i="4" s="1"/>
  <c r="F34" i="6"/>
  <c r="C20" i="4" s="1"/>
  <c r="F33" i="6"/>
  <c r="C19" i="4" s="1"/>
  <c r="F32" i="6"/>
  <c r="C18" i="4" s="1"/>
  <c r="F31" i="6"/>
  <c r="C17" i="4" s="1"/>
  <c r="F30" i="6"/>
  <c r="C16" i="4" s="1"/>
  <c r="F29" i="6"/>
  <c r="C15" i="4" s="1"/>
  <c r="F28" i="6"/>
  <c r="C14" i="4" s="1"/>
  <c r="F27" i="6"/>
  <c r="C13" i="4" s="1"/>
  <c r="F26" i="6"/>
  <c r="C12" i="4" s="1"/>
  <c r="F25" i="6"/>
  <c r="C11" i="4" s="1"/>
  <c r="F24" i="6"/>
  <c r="C10" i="4" s="1"/>
  <c r="F23" i="6"/>
  <c r="C9" i="4" s="1"/>
  <c r="F22" i="6"/>
  <c r="C8" i="4" s="1"/>
  <c r="F21" i="6"/>
  <c r="C7" i="4" s="1"/>
  <c r="F20" i="6"/>
  <c r="C6" i="4" s="1"/>
  <c r="F19" i="6"/>
  <c r="C5" i="4" s="1"/>
  <c r="F18" i="6"/>
  <c r="C4" i="4" s="1"/>
  <c r="AC8" i="6"/>
  <c r="K8" i="6"/>
  <c r="AI7" i="6"/>
  <c r="AF7" i="6"/>
  <c r="AL7" i="6" s="1"/>
  <c r="R13" i="9" l="1"/>
  <c r="J12" i="14"/>
  <c r="N12" i="14" s="1"/>
  <c r="J2" i="14"/>
  <c r="J11" i="4"/>
  <c r="J10" i="4" s="1"/>
  <c r="J9" i="4" s="1"/>
  <c r="J8" i="4" s="1"/>
  <c r="J7" i="4" s="1"/>
  <c r="J6" i="4" s="1"/>
  <c r="N12" i="4"/>
  <c r="R13" i="12"/>
  <c r="F43" i="12"/>
  <c r="F20" i="12"/>
  <c r="K9" i="9"/>
  <c r="O10" i="9"/>
  <c r="U13" i="12"/>
  <c r="F32" i="12"/>
  <c r="E17" i="12"/>
  <c r="E18" i="12" s="1"/>
  <c r="E19" i="12" s="1"/>
  <c r="E20" i="12" s="1"/>
  <c r="E21" i="12" s="1"/>
  <c r="E22" i="12" s="1"/>
  <c r="E23" i="12" s="1"/>
  <c r="E24" i="12" s="1"/>
  <c r="E25" i="12" s="1"/>
  <c r="E26" i="12" s="1"/>
  <c r="E27" i="12" s="1"/>
  <c r="E28" i="12" s="1"/>
  <c r="E29" i="12" s="1"/>
  <c r="E30" i="12" s="1"/>
  <c r="E31" i="12" s="1"/>
  <c r="E32" i="12" s="1"/>
  <c r="E33" i="12" s="1"/>
  <c r="E34" i="12" s="1"/>
  <c r="E35" i="12" s="1"/>
  <c r="E36" i="12" s="1"/>
  <c r="E37" i="12" s="1"/>
  <c r="E38" i="12" s="1"/>
  <c r="E39" i="12" s="1"/>
  <c r="E40" i="12" s="1"/>
  <c r="E41" i="12" s="1"/>
  <c r="E42" i="12" s="1"/>
  <c r="E43" i="12" s="1"/>
  <c r="E44" i="12" s="1"/>
  <c r="E45" i="12" s="1"/>
  <c r="E46" i="12" s="1"/>
  <c r="E47" i="12" s="1"/>
  <c r="E48" i="12" s="1"/>
  <c r="E49" i="12" s="1"/>
  <c r="E50" i="12" s="1"/>
  <c r="E51" i="12" s="1"/>
  <c r="E52" i="12" s="1"/>
  <c r="E53" i="12" s="1"/>
  <c r="E54" i="12" s="1"/>
  <c r="E55" i="12" s="1"/>
  <c r="E56" i="12" s="1"/>
  <c r="E57" i="12" s="1"/>
  <c r="E58" i="12" s="1"/>
  <c r="E59" i="12" s="1"/>
  <c r="E60" i="12" s="1"/>
  <c r="E61" i="12" s="1"/>
  <c r="E62" i="12" s="1"/>
  <c r="E63" i="12" s="1"/>
  <c r="E64" i="12" s="1"/>
  <c r="E65" i="12" s="1"/>
  <c r="E66" i="12" s="1"/>
  <c r="E67" i="12" s="1"/>
  <c r="E68" i="12" s="1"/>
  <c r="E69" i="12" s="1"/>
  <c r="E70" i="12" s="1"/>
  <c r="E71" i="12" s="1"/>
  <c r="E72" i="12" s="1"/>
  <c r="E73" i="12" s="1"/>
  <c r="E74" i="12" s="1"/>
  <c r="E75" i="12" s="1"/>
  <c r="E76" i="12" s="1"/>
  <c r="E77" i="12" s="1"/>
  <c r="F75" i="12"/>
  <c r="F73" i="12"/>
  <c r="N53" i="6"/>
  <c r="C39" i="4"/>
  <c r="N54" i="6"/>
  <c r="C40" i="4"/>
  <c r="N58" i="6"/>
  <c r="C44" i="4"/>
  <c r="N61" i="6"/>
  <c r="C47" i="4"/>
  <c r="N69" i="6"/>
  <c r="C55" i="4"/>
  <c r="N55" i="6"/>
  <c r="C41" i="4"/>
  <c r="N57" i="6"/>
  <c r="C43" i="4"/>
  <c r="N65" i="6"/>
  <c r="C51" i="4"/>
  <c r="N73" i="6"/>
  <c r="C59" i="4"/>
  <c r="N52" i="6"/>
  <c r="C38" i="4"/>
  <c r="N56" i="6"/>
  <c r="C42" i="4"/>
  <c r="F51" i="12"/>
  <c r="F24" i="12"/>
  <c r="F55" i="12"/>
  <c r="C41" i="14" s="1"/>
  <c r="F17" i="12"/>
  <c r="F36" i="12"/>
  <c r="F59" i="12"/>
  <c r="F28" i="12"/>
  <c r="F47" i="12"/>
  <c r="F64" i="12"/>
  <c r="F18" i="12"/>
  <c r="F21" i="12"/>
  <c r="F25" i="12"/>
  <c r="F29" i="12"/>
  <c r="F33" i="12"/>
  <c r="F37" i="12"/>
  <c r="F40" i="12"/>
  <c r="F44" i="12"/>
  <c r="F48" i="12"/>
  <c r="F52" i="12"/>
  <c r="C38" i="14" s="1"/>
  <c r="F56" i="12"/>
  <c r="C42" i="14" s="1"/>
  <c r="F60" i="12"/>
  <c r="F65" i="12"/>
  <c r="F76" i="12"/>
  <c r="AC8" i="12"/>
  <c r="F22" i="12"/>
  <c r="C8" i="14" s="1"/>
  <c r="F26" i="12"/>
  <c r="F30" i="12"/>
  <c r="F34" i="12"/>
  <c r="F38" i="12"/>
  <c r="F41" i="12"/>
  <c r="F45" i="12"/>
  <c r="F49" i="12"/>
  <c r="F53" i="12"/>
  <c r="C39" i="14" s="1"/>
  <c r="F57" i="12"/>
  <c r="F61" i="12"/>
  <c r="F67" i="12"/>
  <c r="F19" i="12"/>
  <c r="F23" i="12"/>
  <c r="F27" i="12"/>
  <c r="F31" i="12"/>
  <c r="F35" i="12"/>
  <c r="F39" i="12"/>
  <c r="F42" i="12"/>
  <c r="F46" i="12"/>
  <c r="F50" i="12"/>
  <c r="F54" i="12"/>
  <c r="C40" i="14" s="1"/>
  <c r="F58" i="12"/>
  <c r="F62" i="12"/>
  <c r="F70" i="12"/>
  <c r="W68" i="6"/>
  <c r="N68" i="6"/>
  <c r="K23" i="6"/>
  <c r="K27" i="6"/>
  <c r="K31" i="6"/>
  <c r="K35" i="6"/>
  <c r="K39" i="6"/>
  <c r="K43" i="6"/>
  <c r="K47" i="6"/>
  <c r="K51" i="6"/>
  <c r="B51" i="6" s="1"/>
  <c r="H37" i="4" s="1"/>
  <c r="T59" i="6"/>
  <c r="N59" i="6"/>
  <c r="T63" i="6"/>
  <c r="N63" i="6"/>
  <c r="T67" i="6"/>
  <c r="N67" i="6"/>
  <c r="T71" i="6"/>
  <c r="N71" i="6"/>
  <c r="T75" i="6"/>
  <c r="N75" i="6"/>
  <c r="W60" i="6"/>
  <c r="N60" i="6"/>
  <c r="W72" i="6"/>
  <c r="N72" i="6"/>
  <c r="W64" i="6"/>
  <c r="N64" i="6"/>
  <c r="W76" i="6"/>
  <c r="N76" i="6"/>
  <c r="K22" i="6"/>
  <c r="K26" i="6"/>
  <c r="K30" i="6"/>
  <c r="K34" i="6"/>
  <c r="K38" i="6"/>
  <c r="K42" i="6"/>
  <c r="K46" i="6"/>
  <c r="K50" i="6"/>
  <c r="Q62" i="6"/>
  <c r="N62" i="6"/>
  <c r="Q66" i="6"/>
  <c r="N66" i="6"/>
  <c r="Q70" i="6"/>
  <c r="N70" i="6"/>
  <c r="Q74" i="6"/>
  <c r="N74" i="6"/>
  <c r="F66" i="12"/>
  <c r="F68" i="12"/>
  <c r="F72" i="12"/>
  <c r="F63" i="12"/>
  <c r="F69" i="12"/>
  <c r="F71" i="12"/>
  <c r="F74" i="12"/>
  <c r="C19" i="13"/>
  <c r="D21" i="13"/>
  <c r="C25" i="13"/>
  <c r="AL7" i="12"/>
  <c r="J10" i="8"/>
  <c r="J7" i="8"/>
  <c r="J6" i="8"/>
  <c r="K8" i="8" s="1"/>
  <c r="L8" i="8" s="1"/>
  <c r="M8" i="8"/>
  <c r="J9" i="8"/>
  <c r="K9" i="8" s="1"/>
  <c r="L9" i="8" s="1"/>
  <c r="K5" i="8"/>
  <c r="L5" i="8" s="1"/>
  <c r="M7" i="8"/>
  <c r="K4" i="8"/>
  <c r="L4" i="8" s="1"/>
  <c r="M10" i="8"/>
  <c r="K6" i="8"/>
  <c r="L6" i="8" s="1"/>
  <c r="C14" i="9"/>
  <c r="K62" i="6"/>
  <c r="H62" i="6"/>
  <c r="W63" i="6"/>
  <c r="H70" i="6"/>
  <c r="W71" i="6"/>
  <c r="K70" i="6"/>
  <c r="K54" i="6"/>
  <c r="W62" i="6"/>
  <c r="K66" i="6"/>
  <c r="W70" i="6"/>
  <c r="K55" i="6"/>
  <c r="K63" i="6"/>
  <c r="K71" i="6"/>
  <c r="T74" i="6"/>
  <c r="W59" i="6"/>
  <c r="T62" i="6"/>
  <c r="K67" i="6"/>
  <c r="H74" i="6"/>
  <c r="W74" i="6"/>
  <c r="W75" i="6"/>
  <c r="K58" i="6"/>
  <c r="T66" i="6"/>
  <c r="K74" i="6"/>
  <c r="K59" i="6"/>
  <c r="H66" i="6"/>
  <c r="W66" i="6"/>
  <c r="W67" i="6"/>
  <c r="T70" i="6"/>
  <c r="K75" i="6"/>
  <c r="W61" i="6"/>
  <c r="K61" i="6"/>
  <c r="T61" i="6"/>
  <c r="H61" i="6"/>
  <c r="W69" i="6"/>
  <c r="K69" i="6"/>
  <c r="T69" i="6"/>
  <c r="H69" i="6"/>
  <c r="K19" i="6"/>
  <c r="Q61" i="6"/>
  <c r="Q69" i="6"/>
  <c r="K21" i="6"/>
  <c r="K25" i="6"/>
  <c r="K29" i="6"/>
  <c r="K33" i="6"/>
  <c r="K37" i="6"/>
  <c r="K41" i="6"/>
  <c r="K45" i="6"/>
  <c r="K49" i="6"/>
  <c r="K53" i="6"/>
  <c r="K57" i="6"/>
  <c r="W65" i="6"/>
  <c r="K65" i="6"/>
  <c r="T65" i="6"/>
  <c r="H65" i="6"/>
  <c r="W73" i="6"/>
  <c r="K73" i="6"/>
  <c r="T73" i="6"/>
  <c r="H73" i="6"/>
  <c r="K18" i="6"/>
  <c r="K20" i="6"/>
  <c r="K24" i="6"/>
  <c r="K28" i="6"/>
  <c r="K32" i="6"/>
  <c r="K36" i="6"/>
  <c r="K40" i="6"/>
  <c r="K44" i="6"/>
  <c r="K48" i="6"/>
  <c r="K52" i="6"/>
  <c r="Q65" i="6"/>
  <c r="Q73" i="6"/>
  <c r="Q60" i="6"/>
  <c r="Q64" i="6"/>
  <c r="Q68" i="6"/>
  <c r="Q72" i="6"/>
  <c r="Q76" i="6"/>
  <c r="Q47" i="6"/>
  <c r="Q55" i="6"/>
  <c r="Q59" i="6"/>
  <c r="H60" i="6"/>
  <c r="T60" i="6"/>
  <c r="Q63" i="6"/>
  <c r="H64" i="6"/>
  <c r="T64" i="6"/>
  <c r="Q67" i="6"/>
  <c r="H68" i="6"/>
  <c r="T68" i="6"/>
  <c r="Q71" i="6"/>
  <c r="H72" i="6"/>
  <c r="T72" i="6"/>
  <c r="Q75" i="6"/>
  <c r="H76" i="6"/>
  <c r="T76" i="6"/>
  <c r="K56" i="6"/>
  <c r="H59" i="6"/>
  <c r="K60" i="6"/>
  <c r="H63" i="6"/>
  <c r="K64" i="6"/>
  <c r="H67" i="6"/>
  <c r="K68" i="6"/>
  <c r="H71" i="6"/>
  <c r="K72" i="6"/>
  <c r="H75" i="6"/>
  <c r="K76" i="6"/>
  <c r="Z8" i="1"/>
  <c r="H8" i="1"/>
  <c r="AF7" i="1"/>
  <c r="AC7" i="1"/>
  <c r="C1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N32" i="6" l="1"/>
  <c r="B32" i="6"/>
  <c r="H18" i="4" s="1"/>
  <c r="N29" i="6"/>
  <c r="B29" i="6"/>
  <c r="H15" i="4" s="1"/>
  <c r="N22" i="6"/>
  <c r="B22" i="6"/>
  <c r="H8" i="4" s="1"/>
  <c r="N47" i="6"/>
  <c r="B47" i="6"/>
  <c r="H33" i="4" s="1"/>
  <c r="N28" i="6"/>
  <c r="B28" i="6"/>
  <c r="H14" i="4" s="1"/>
  <c r="N41" i="6"/>
  <c r="B41" i="6"/>
  <c r="H27" i="4" s="1"/>
  <c r="N19" i="6"/>
  <c r="B19" i="6"/>
  <c r="H5" i="4" s="1"/>
  <c r="N50" i="6"/>
  <c r="B50" i="6"/>
  <c r="H36" i="4" s="1"/>
  <c r="N43" i="6"/>
  <c r="B43" i="6"/>
  <c r="H29" i="4" s="1"/>
  <c r="N40" i="6"/>
  <c r="B40" i="6"/>
  <c r="H26" i="4" s="1"/>
  <c r="N24" i="6"/>
  <c r="B24" i="6"/>
  <c r="H10" i="4" s="1"/>
  <c r="N37" i="6"/>
  <c r="B37" i="6"/>
  <c r="H23" i="4" s="1"/>
  <c r="N21" i="6"/>
  <c r="B21" i="6"/>
  <c r="H7" i="4" s="1"/>
  <c r="N46" i="6"/>
  <c r="B46" i="6"/>
  <c r="H32" i="4" s="1"/>
  <c r="N30" i="6"/>
  <c r="B30" i="6"/>
  <c r="H16" i="4" s="1"/>
  <c r="N39" i="6"/>
  <c r="B39" i="6"/>
  <c r="H25" i="4" s="1"/>
  <c r="N23" i="6"/>
  <c r="B23" i="6"/>
  <c r="H9" i="4" s="1"/>
  <c r="N48" i="6"/>
  <c r="B48" i="6"/>
  <c r="H34" i="4" s="1"/>
  <c r="N18" i="6"/>
  <c r="B18" i="6"/>
  <c r="H4" i="4" s="1"/>
  <c r="N45" i="6"/>
  <c r="B45" i="6"/>
  <c r="H31" i="4" s="1"/>
  <c r="N38" i="6"/>
  <c r="B38" i="6"/>
  <c r="H24" i="4" s="1"/>
  <c r="N31" i="6"/>
  <c r="B31" i="6"/>
  <c r="H17" i="4" s="1"/>
  <c r="N44" i="6"/>
  <c r="B44" i="6"/>
  <c r="H30" i="4" s="1"/>
  <c r="N25" i="6"/>
  <c r="B25" i="6"/>
  <c r="H11" i="4" s="1"/>
  <c r="N34" i="6"/>
  <c r="B34" i="6"/>
  <c r="H20" i="4" s="1"/>
  <c r="N27" i="6"/>
  <c r="B27" i="6"/>
  <c r="H13" i="4" s="1"/>
  <c r="N36" i="6"/>
  <c r="B36" i="6"/>
  <c r="H22" i="4" s="1"/>
  <c r="N20" i="6"/>
  <c r="B20" i="6"/>
  <c r="H6" i="4" s="1"/>
  <c r="N49" i="6"/>
  <c r="B49" i="6"/>
  <c r="H35" i="4" s="1"/>
  <c r="N33" i="6"/>
  <c r="B33" i="6"/>
  <c r="H19" i="4" s="1"/>
  <c r="N42" i="6"/>
  <c r="B42" i="6"/>
  <c r="H28" i="4" s="1"/>
  <c r="N26" i="6"/>
  <c r="B26" i="6"/>
  <c r="H12" i="4" s="1"/>
  <c r="N35" i="6"/>
  <c r="B35" i="6"/>
  <c r="H21" i="4" s="1"/>
  <c r="N3" i="9"/>
  <c r="N51" i="6"/>
  <c r="C51" i="6" s="1"/>
  <c r="J11" i="14"/>
  <c r="J10" i="14" s="1"/>
  <c r="J9" i="14" s="1"/>
  <c r="J8" i="14" s="1"/>
  <c r="J7" i="14" s="1"/>
  <c r="J6" i="14" s="1"/>
  <c r="Q42" i="6"/>
  <c r="Q26" i="6"/>
  <c r="T63" i="12"/>
  <c r="C49" i="14"/>
  <c r="Q70" i="12"/>
  <c r="C56" i="14"/>
  <c r="K50" i="12"/>
  <c r="Q50" i="12" s="1"/>
  <c r="C36" i="14"/>
  <c r="K35" i="12"/>
  <c r="C21" i="14"/>
  <c r="K19" i="12"/>
  <c r="C5" i="14"/>
  <c r="K38" i="12"/>
  <c r="C24" i="14"/>
  <c r="W60" i="12"/>
  <c r="C46" i="14"/>
  <c r="K44" i="12"/>
  <c r="C30" i="14"/>
  <c r="K29" i="12"/>
  <c r="C15" i="14"/>
  <c r="W64" i="12"/>
  <c r="C50" i="14"/>
  <c r="K36" i="12"/>
  <c r="C22" i="14"/>
  <c r="K51" i="12"/>
  <c r="C37" i="14"/>
  <c r="T75" i="12"/>
  <c r="C61" i="14"/>
  <c r="K43" i="12"/>
  <c r="C29" i="14"/>
  <c r="Q74" i="12"/>
  <c r="C60" i="14"/>
  <c r="W72" i="12"/>
  <c r="C58" i="14"/>
  <c r="W62" i="12"/>
  <c r="C48" i="14"/>
  <c r="K46" i="12"/>
  <c r="C32" i="14"/>
  <c r="K31" i="12"/>
  <c r="C17" i="14"/>
  <c r="T67" i="12"/>
  <c r="C53" i="14"/>
  <c r="K49" i="12"/>
  <c r="C35" i="14"/>
  <c r="K34" i="12"/>
  <c r="C20" i="14"/>
  <c r="K40" i="12"/>
  <c r="C26" i="14"/>
  <c r="K25" i="12"/>
  <c r="C11" i="14"/>
  <c r="K47" i="12"/>
  <c r="Q47" i="12" s="1"/>
  <c r="C33" i="14"/>
  <c r="K17" i="12"/>
  <c r="C3" i="14"/>
  <c r="J3" i="14" s="1"/>
  <c r="J4" i="14" s="1"/>
  <c r="J5" i="14" s="1"/>
  <c r="N71" i="12"/>
  <c r="C57" i="14"/>
  <c r="W68" i="12"/>
  <c r="C54" i="14"/>
  <c r="Q58" i="12"/>
  <c r="C44" i="14"/>
  <c r="K42" i="12"/>
  <c r="C28" i="14"/>
  <c r="K27" i="12"/>
  <c r="C13" i="14"/>
  <c r="Q61" i="12"/>
  <c r="C47" i="14"/>
  <c r="K45" i="12"/>
  <c r="C31" i="14"/>
  <c r="K30" i="12"/>
  <c r="C16" i="14"/>
  <c r="W76" i="12"/>
  <c r="C62" i="14"/>
  <c r="K37" i="12"/>
  <c r="C23" i="14"/>
  <c r="K21" i="12"/>
  <c r="B21" i="12" s="1"/>
  <c r="C7" i="14"/>
  <c r="K28" i="12"/>
  <c r="C14" i="14"/>
  <c r="Q69" i="12"/>
  <c r="C55" i="14"/>
  <c r="W66" i="12"/>
  <c r="C52" i="14"/>
  <c r="K39" i="12"/>
  <c r="C25" i="14"/>
  <c r="K23" i="12"/>
  <c r="C9" i="14"/>
  <c r="N57" i="12"/>
  <c r="C43" i="14"/>
  <c r="K41" i="12"/>
  <c r="C27" i="14"/>
  <c r="K26" i="12"/>
  <c r="C12" i="14"/>
  <c r="T65" i="12"/>
  <c r="C51" i="14"/>
  <c r="K48" i="12"/>
  <c r="C34" i="14"/>
  <c r="K33" i="12"/>
  <c r="C19" i="14"/>
  <c r="K18" i="12"/>
  <c r="C4" i="14"/>
  <c r="T59" i="12"/>
  <c r="C45" i="14"/>
  <c r="K24" i="12"/>
  <c r="C10" i="14"/>
  <c r="Q73" i="12"/>
  <c r="C59" i="14"/>
  <c r="K32" i="12"/>
  <c r="C18" i="14"/>
  <c r="K20" i="12"/>
  <c r="C6" i="14"/>
  <c r="K76" i="12"/>
  <c r="B76" i="12" s="1"/>
  <c r="C76" i="12" s="1"/>
  <c r="K58" i="12"/>
  <c r="B58" i="12" s="1"/>
  <c r="C58" i="12" s="1"/>
  <c r="N58" i="12"/>
  <c r="Q75" i="12"/>
  <c r="H72" i="12"/>
  <c r="K73" i="12"/>
  <c r="B73" i="12" s="1"/>
  <c r="C73" i="12" s="1"/>
  <c r="H75" i="12"/>
  <c r="H73" i="12"/>
  <c r="N73" i="12"/>
  <c r="K75" i="12"/>
  <c r="B75" i="12" s="1"/>
  <c r="C75" i="12" s="1"/>
  <c r="W73" i="12"/>
  <c r="Q23" i="12"/>
  <c r="H63" i="12"/>
  <c r="T73" i="12"/>
  <c r="T57" i="12"/>
  <c r="Q35" i="6"/>
  <c r="Q30" i="6"/>
  <c r="K64" i="12"/>
  <c r="B64" i="12" s="1"/>
  <c r="C64" i="12" s="1"/>
  <c r="N75" i="12"/>
  <c r="T64" i="12"/>
  <c r="Q64" i="12"/>
  <c r="W75" i="12"/>
  <c r="N74" i="12"/>
  <c r="H71" i="12"/>
  <c r="K61" i="12"/>
  <c r="B61" i="12" s="1"/>
  <c r="C61" i="12" s="1"/>
  <c r="K55" i="12"/>
  <c r="B55" i="12" s="1"/>
  <c r="A55" i="12" s="1"/>
  <c r="T58" i="12"/>
  <c r="Q34" i="12"/>
  <c r="H62" i="12"/>
  <c r="Q59" i="12"/>
  <c r="W59" i="12"/>
  <c r="K59" i="12"/>
  <c r="B59" i="12" s="1"/>
  <c r="C59" i="12" s="1"/>
  <c r="H59" i="12"/>
  <c r="K65" i="12"/>
  <c r="B65" i="12" s="1"/>
  <c r="C65" i="12" s="1"/>
  <c r="W63" i="12"/>
  <c r="N59" i="12"/>
  <c r="Q23" i="6"/>
  <c r="H67" i="12"/>
  <c r="K56" i="12"/>
  <c r="B56" i="12" s="1"/>
  <c r="Q67" i="12"/>
  <c r="H17" i="12"/>
  <c r="W67" i="12"/>
  <c r="K62" i="12"/>
  <c r="B62" i="12" s="1"/>
  <c r="C62" i="12" s="1"/>
  <c r="N72" i="12"/>
  <c r="Q46" i="6"/>
  <c r="A30" i="6"/>
  <c r="Q56" i="12"/>
  <c r="T62" i="12"/>
  <c r="N67" i="12"/>
  <c r="Q39" i="6"/>
  <c r="N62" i="12"/>
  <c r="K67" i="12"/>
  <c r="B67" i="12" s="1"/>
  <c r="C67" i="12" s="1"/>
  <c r="Q62" i="12"/>
  <c r="H64" i="12"/>
  <c r="W74" i="12"/>
  <c r="T74" i="12"/>
  <c r="N64" i="12"/>
  <c r="N60" i="12"/>
  <c r="Q51" i="6"/>
  <c r="Q50" i="6"/>
  <c r="K52" i="12"/>
  <c r="B52" i="12" s="1"/>
  <c r="W61" i="12"/>
  <c r="Q30" i="12"/>
  <c r="T76" i="12"/>
  <c r="T68" i="12"/>
  <c r="Q76" i="12"/>
  <c r="H61" i="12"/>
  <c r="N61" i="12"/>
  <c r="H58" i="12"/>
  <c r="N76" i="12"/>
  <c r="Q38" i="6"/>
  <c r="H76" i="12"/>
  <c r="T61" i="12"/>
  <c r="W58" i="12"/>
  <c r="Q22" i="6"/>
  <c r="Q71" i="12"/>
  <c r="W65" i="12"/>
  <c r="K57" i="12"/>
  <c r="B57" i="12" s="1"/>
  <c r="C57" i="12" s="1"/>
  <c r="H65" i="12"/>
  <c r="N65" i="12"/>
  <c r="Q57" i="12"/>
  <c r="W57" i="12"/>
  <c r="Q31" i="6"/>
  <c r="Q34" i="6"/>
  <c r="K72" i="12"/>
  <c r="B72" i="12" s="1"/>
  <c r="C72" i="12" s="1"/>
  <c r="T72" i="12"/>
  <c r="Q72" i="12"/>
  <c r="Q65" i="12"/>
  <c r="H57" i="12"/>
  <c r="K54" i="12"/>
  <c r="B54" i="12" s="1"/>
  <c r="H18" i="1"/>
  <c r="H19" i="1"/>
  <c r="H23" i="1"/>
  <c r="N23" i="1" s="1"/>
  <c r="K60" i="12"/>
  <c r="B60" i="12" s="1"/>
  <c r="C60" i="12" s="1"/>
  <c r="K53" i="12"/>
  <c r="B53" i="12" s="1"/>
  <c r="H74" i="12"/>
  <c r="K66" i="12"/>
  <c r="B66" i="12" s="1"/>
  <c r="C66" i="12" s="1"/>
  <c r="K22" i="12"/>
  <c r="H70" i="12"/>
  <c r="W70" i="12"/>
  <c r="H22" i="1"/>
  <c r="H20" i="1"/>
  <c r="H24" i="1"/>
  <c r="Q43" i="6"/>
  <c r="Q27" i="6"/>
  <c r="N66" i="12"/>
  <c r="T60" i="12"/>
  <c r="K63" i="12"/>
  <c r="B63" i="12" s="1"/>
  <c r="A63" i="12" s="1"/>
  <c r="K74" i="12"/>
  <c r="B74" i="12" s="1"/>
  <c r="C74" i="12" s="1"/>
  <c r="N70" i="12"/>
  <c r="H21" i="1"/>
  <c r="H25" i="1"/>
  <c r="K25" i="1" s="1"/>
  <c r="H17" i="1"/>
  <c r="H60" i="12"/>
  <c r="Q60" i="12"/>
  <c r="N53" i="12"/>
  <c r="T70" i="12"/>
  <c r="K70" i="12"/>
  <c r="B70" i="12" s="1"/>
  <c r="K68" i="12"/>
  <c r="B68" i="12" s="1"/>
  <c r="C68" i="12" s="1"/>
  <c r="H68" i="12"/>
  <c r="Q68" i="12"/>
  <c r="K69" i="12"/>
  <c r="B69" i="12" s="1"/>
  <c r="C69" i="12" s="1"/>
  <c r="Q63" i="12"/>
  <c r="H69" i="12"/>
  <c r="N69" i="12"/>
  <c r="N63" i="12"/>
  <c r="Q66" i="12"/>
  <c r="T66" i="12"/>
  <c r="H66" i="12"/>
  <c r="W69" i="12"/>
  <c r="T69" i="12"/>
  <c r="N68" i="12"/>
  <c r="T71" i="12"/>
  <c r="K71" i="12"/>
  <c r="B71" i="12" s="1"/>
  <c r="W71" i="12"/>
  <c r="Q44" i="12"/>
  <c r="C26" i="13"/>
  <c r="C18" i="13"/>
  <c r="A43" i="6"/>
  <c r="A49" i="6"/>
  <c r="K7" i="8"/>
  <c r="L7" i="8" s="1"/>
  <c r="K10" i="8"/>
  <c r="L10" i="8" s="1"/>
  <c r="A22" i="6"/>
  <c r="A71" i="6"/>
  <c r="A63" i="6"/>
  <c r="A69" i="6"/>
  <c r="A67" i="6"/>
  <c r="A62" i="6"/>
  <c r="A66" i="6"/>
  <c r="A76" i="6"/>
  <c r="A72" i="6"/>
  <c r="A73" i="6"/>
  <c r="A75" i="6"/>
  <c r="Q54" i="6"/>
  <c r="C13" i="9"/>
  <c r="Q53" i="6"/>
  <c r="Q57" i="6"/>
  <c r="Q58" i="6"/>
  <c r="Q56" i="6"/>
  <c r="A52" i="6"/>
  <c r="Q45" i="6"/>
  <c r="Q49" i="6"/>
  <c r="Q41" i="6"/>
  <c r="Q33" i="6"/>
  <c r="Q25" i="6"/>
  <c r="Q19" i="6"/>
  <c r="A19" i="6"/>
  <c r="A28" i="6"/>
  <c r="Q18" i="6"/>
  <c r="A18" i="6"/>
  <c r="Q37" i="6"/>
  <c r="Q29" i="6"/>
  <c r="Q21" i="6"/>
  <c r="A21" i="6"/>
  <c r="Q24" i="6"/>
  <c r="Q48" i="6"/>
  <c r="Q36" i="6"/>
  <c r="Q40" i="6"/>
  <c r="Q28" i="6"/>
  <c r="Q44" i="6"/>
  <c r="Q32" i="6"/>
  <c r="Q52" i="6"/>
  <c r="Q20" i="6"/>
  <c r="G43" i="4"/>
  <c r="G45" i="4"/>
  <c r="G47" i="4"/>
  <c r="G51" i="4"/>
  <c r="G53" i="4"/>
  <c r="G55" i="4"/>
  <c r="G59" i="4"/>
  <c r="G61" i="4"/>
  <c r="G40" i="4"/>
  <c r="G42" i="4"/>
  <c r="G44" i="4"/>
  <c r="G46" i="4"/>
  <c r="G48" i="4"/>
  <c r="G50" i="4"/>
  <c r="G52" i="4"/>
  <c r="G54" i="4"/>
  <c r="G56" i="4"/>
  <c r="G58" i="4"/>
  <c r="G60" i="4"/>
  <c r="G62" i="4"/>
  <c r="N17" i="1"/>
  <c r="E17" i="1"/>
  <c r="AI7" i="1"/>
  <c r="K18" i="1"/>
  <c r="K17" i="1"/>
  <c r="N18" i="1"/>
  <c r="N20" i="1"/>
  <c r="N22" i="1"/>
  <c r="N24" i="1"/>
  <c r="N19" i="1"/>
  <c r="N21" i="1"/>
  <c r="N25" i="1"/>
  <c r="H26" i="1"/>
  <c r="K26" i="1" s="1"/>
  <c r="H28" i="1"/>
  <c r="K28" i="1" s="1"/>
  <c r="H30" i="1"/>
  <c r="N30" i="1" s="1"/>
  <c r="H32" i="1"/>
  <c r="K32" i="1" s="1"/>
  <c r="H34" i="1"/>
  <c r="N34" i="1" s="1"/>
  <c r="H36" i="1"/>
  <c r="K36" i="1" s="1"/>
  <c r="H38" i="1"/>
  <c r="N38" i="1" s="1"/>
  <c r="H40" i="1"/>
  <c r="K40" i="1" s="1"/>
  <c r="H42" i="1"/>
  <c r="N42" i="1" s="1"/>
  <c r="H44" i="1"/>
  <c r="K44" i="1" s="1"/>
  <c r="H46" i="1"/>
  <c r="N46" i="1" s="1"/>
  <c r="H48" i="1"/>
  <c r="K48" i="1" s="1"/>
  <c r="H50" i="1"/>
  <c r="N50" i="1" s="1"/>
  <c r="H52" i="1"/>
  <c r="K52" i="1" s="1"/>
  <c r="H54" i="1"/>
  <c r="H56" i="1"/>
  <c r="K56" i="1" s="1"/>
  <c r="H58" i="1"/>
  <c r="H60" i="1"/>
  <c r="K60" i="1" s="1"/>
  <c r="H62" i="1"/>
  <c r="H64" i="1"/>
  <c r="K64" i="1" s="1"/>
  <c r="H66" i="1"/>
  <c r="H68" i="1"/>
  <c r="K68" i="1" s="1"/>
  <c r="H70" i="1"/>
  <c r="H72" i="1"/>
  <c r="K72" i="1" s="1"/>
  <c r="H74" i="1"/>
  <c r="H76" i="1"/>
  <c r="K76" i="1" s="1"/>
  <c r="K20" i="1"/>
  <c r="K22" i="1"/>
  <c r="K24" i="1"/>
  <c r="H27" i="1"/>
  <c r="H29" i="1"/>
  <c r="K29" i="1" s="1"/>
  <c r="H31" i="1"/>
  <c r="H33" i="1"/>
  <c r="K33" i="1" s="1"/>
  <c r="H35" i="1"/>
  <c r="H37" i="1"/>
  <c r="K37" i="1" s="1"/>
  <c r="H39" i="1"/>
  <c r="H41" i="1"/>
  <c r="K41" i="1" s="1"/>
  <c r="H43" i="1"/>
  <c r="H45" i="1"/>
  <c r="K45" i="1" s="1"/>
  <c r="H47" i="1"/>
  <c r="H49" i="1"/>
  <c r="K49" i="1" s="1"/>
  <c r="H51" i="1"/>
  <c r="H53" i="1"/>
  <c r="H55" i="1"/>
  <c r="K55" i="1" s="1"/>
  <c r="H57" i="1"/>
  <c r="H59" i="1"/>
  <c r="K59" i="1" s="1"/>
  <c r="H61" i="1"/>
  <c r="H63" i="1"/>
  <c r="K63" i="1" s="1"/>
  <c r="H65" i="1"/>
  <c r="H67" i="1"/>
  <c r="N67" i="1" s="1"/>
  <c r="H69" i="1"/>
  <c r="K69" i="1" s="1"/>
  <c r="H71" i="1"/>
  <c r="N71" i="1" s="1"/>
  <c r="H73" i="1"/>
  <c r="K73" i="1" s="1"/>
  <c r="H75" i="1"/>
  <c r="N75" i="1" s="1"/>
  <c r="K19" i="1"/>
  <c r="K21" i="1"/>
  <c r="K23" i="1"/>
  <c r="B51" i="12" l="1"/>
  <c r="A51" i="12" s="1"/>
  <c r="R3" i="13"/>
  <c r="U2" i="13" s="1"/>
  <c r="U3" i="13" s="1"/>
  <c r="B32" i="12"/>
  <c r="A32" i="12" s="1"/>
  <c r="B18" i="12"/>
  <c r="A18" i="12" s="1"/>
  <c r="B48" i="12"/>
  <c r="A48" i="12" s="1"/>
  <c r="B39" i="12"/>
  <c r="A39" i="12" s="1"/>
  <c r="B27" i="12"/>
  <c r="A27" i="12" s="1"/>
  <c r="B40" i="12"/>
  <c r="A40" i="12" s="1"/>
  <c r="B31" i="12"/>
  <c r="A31" i="12" s="1"/>
  <c r="N36" i="12"/>
  <c r="B36" i="12"/>
  <c r="B19" i="12"/>
  <c r="A19" i="12" s="1"/>
  <c r="B50" i="12"/>
  <c r="A50" i="12" s="1"/>
  <c r="B22" i="12"/>
  <c r="A22" i="12" s="1"/>
  <c r="B20" i="12"/>
  <c r="A20" i="12" s="1"/>
  <c r="N33" i="12"/>
  <c r="C33" i="12" s="1"/>
  <c r="B33" i="12"/>
  <c r="N41" i="12"/>
  <c r="B41" i="12"/>
  <c r="B23" i="12"/>
  <c r="A23" i="12" s="1"/>
  <c r="B28" i="12"/>
  <c r="A28" i="12" s="1"/>
  <c r="N37" i="12"/>
  <c r="B37" i="12"/>
  <c r="B30" i="12"/>
  <c r="A30" i="12" s="1"/>
  <c r="N42" i="12"/>
  <c r="B42" i="12"/>
  <c r="N17" i="12"/>
  <c r="D3" i="14" s="1"/>
  <c r="B17" i="12"/>
  <c r="C17" i="12" s="1"/>
  <c r="N25" i="12"/>
  <c r="B25" i="12"/>
  <c r="A25" i="12" s="1"/>
  <c r="B34" i="12"/>
  <c r="A34" i="12" s="1"/>
  <c r="B46" i="12"/>
  <c r="A46" i="12" s="1"/>
  <c r="B43" i="12"/>
  <c r="A43" i="12" s="1"/>
  <c r="B44" i="12"/>
  <c r="A44" i="12" s="1"/>
  <c r="B38" i="12"/>
  <c r="A38" i="12" s="1"/>
  <c r="B35" i="12"/>
  <c r="A35" i="12" s="1"/>
  <c r="B24" i="12"/>
  <c r="A24" i="12" s="1"/>
  <c r="B26" i="12"/>
  <c r="A26" i="12" s="1"/>
  <c r="N45" i="12"/>
  <c r="B45" i="12"/>
  <c r="C45" i="12" s="1"/>
  <c r="B47" i="12"/>
  <c r="A47" i="12" s="1"/>
  <c r="N49" i="12"/>
  <c r="B49" i="12"/>
  <c r="N29" i="12"/>
  <c r="B29" i="12"/>
  <c r="P2" i="9"/>
  <c r="P3" i="9" s="1"/>
  <c r="A26" i="6"/>
  <c r="C50" i="6"/>
  <c r="A32" i="6"/>
  <c r="A36" i="6"/>
  <c r="A24" i="6"/>
  <c r="A34" i="6"/>
  <c r="A44" i="6"/>
  <c r="C42" i="6"/>
  <c r="A23" i="6"/>
  <c r="C27" i="6"/>
  <c r="A40" i="6"/>
  <c r="C47" i="6"/>
  <c r="A37" i="6"/>
  <c r="A20" i="6"/>
  <c r="A33" i="6"/>
  <c r="C46" i="6"/>
  <c r="A29" i="6"/>
  <c r="A25" i="6"/>
  <c r="A41" i="6"/>
  <c r="C31" i="6"/>
  <c r="Q45" i="12"/>
  <c r="N50" i="12"/>
  <c r="C50" i="12" s="1"/>
  <c r="N19" i="12"/>
  <c r="Q21" i="12"/>
  <c r="N21" i="12"/>
  <c r="C21" i="12" s="1"/>
  <c r="Q19" i="12"/>
  <c r="Q25" i="12"/>
  <c r="Q41" i="12"/>
  <c r="N20" i="12"/>
  <c r="N44" i="12"/>
  <c r="C44" i="12" s="1"/>
  <c r="N38" i="12"/>
  <c r="Q46" i="12"/>
  <c r="N23" i="12"/>
  <c r="Q17" i="12"/>
  <c r="N46" i="12"/>
  <c r="Q42" i="12"/>
  <c r="C42" i="12"/>
  <c r="N51" i="12"/>
  <c r="C51" i="12" s="1"/>
  <c r="Q51" i="12"/>
  <c r="N43" i="12"/>
  <c r="C43" i="12" s="1"/>
  <c r="Q33" i="12"/>
  <c r="Q20" i="12"/>
  <c r="Q38" i="12"/>
  <c r="N34" i="12"/>
  <c r="N30" i="12"/>
  <c r="N48" i="12"/>
  <c r="C48" i="12" s="1"/>
  <c r="Q55" i="12"/>
  <c r="N55" i="12"/>
  <c r="C55" i="12" s="1"/>
  <c r="N32" i="12"/>
  <c r="N27" i="12"/>
  <c r="N47" i="12"/>
  <c r="C47" i="12" s="1"/>
  <c r="N40" i="12"/>
  <c r="N18" i="12"/>
  <c r="A76" i="12"/>
  <c r="Q24" i="12"/>
  <c r="N35" i="12"/>
  <c r="N26" i="12"/>
  <c r="Q43" i="12"/>
  <c r="F52" i="14"/>
  <c r="D52" i="14"/>
  <c r="E52" i="14"/>
  <c r="F57" i="14"/>
  <c r="E57" i="14"/>
  <c r="D57" i="14"/>
  <c r="N28" i="12"/>
  <c r="F62" i="14"/>
  <c r="E62" i="14"/>
  <c r="D62" i="14"/>
  <c r="F44" i="14"/>
  <c r="D44" i="14"/>
  <c r="E44" i="14"/>
  <c r="F56" i="14"/>
  <c r="D56" i="14"/>
  <c r="E56" i="14"/>
  <c r="Q29" i="12"/>
  <c r="Q37" i="12"/>
  <c r="Q26" i="12"/>
  <c r="Q18" i="12"/>
  <c r="D59" i="14"/>
  <c r="F59" i="14"/>
  <c r="E59" i="14"/>
  <c r="F45" i="14"/>
  <c r="E45" i="14"/>
  <c r="D45" i="14"/>
  <c r="D51" i="14"/>
  <c r="F51" i="14"/>
  <c r="E51" i="14"/>
  <c r="F53" i="14"/>
  <c r="E53" i="14"/>
  <c r="D53" i="14"/>
  <c r="F58" i="14"/>
  <c r="E58" i="14"/>
  <c r="D58" i="14"/>
  <c r="F50" i="14"/>
  <c r="E50" i="14"/>
  <c r="D50" i="14"/>
  <c r="Q40" i="12"/>
  <c r="Q49" i="12"/>
  <c r="Q39" i="12"/>
  <c r="Q27" i="12"/>
  <c r="Q31" i="12"/>
  <c r="D55" i="14"/>
  <c r="F55" i="14"/>
  <c r="E55" i="14"/>
  <c r="D47" i="14"/>
  <c r="F47" i="14"/>
  <c r="E47" i="14"/>
  <c r="F54" i="14"/>
  <c r="E54" i="14"/>
  <c r="D54" i="14"/>
  <c r="N3" i="14"/>
  <c r="F49" i="14"/>
  <c r="E49" i="14"/>
  <c r="D49" i="14"/>
  <c r="Q48" i="12"/>
  <c r="Q36" i="12"/>
  <c r="N24" i="12"/>
  <c r="Q32" i="12"/>
  <c r="Q28" i="12"/>
  <c r="Q35" i="12"/>
  <c r="N39" i="12"/>
  <c r="N31" i="12"/>
  <c r="C31" i="12" s="1"/>
  <c r="D43" i="14"/>
  <c r="F43" i="14"/>
  <c r="E43" i="14"/>
  <c r="F48" i="14"/>
  <c r="D48" i="14"/>
  <c r="E48" i="14"/>
  <c r="F60" i="14"/>
  <c r="D60" i="14"/>
  <c r="E60" i="14"/>
  <c r="F61" i="14"/>
  <c r="E61" i="14"/>
  <c r="D61" i="14"/>
  <c r="F46" i="14"/>
  <c r="E46" i="14"/>
  <c r="D46" i="14"/>
  <c r="Q52" i="12"/>
  <c r="N54" i="12"/>
  <c r="N56" i="12"/>
  <c r="C56" i="12" s="1"/>
  <c r="C53" i="12"/>
  <c r="N52" i="12"/>
  <c r="Q54" i="12"/>
  <c r="Q53" i="12"/>
  <c r="A58" i="12"/>
  <c r="A61" i="12"/>
  <c r="A73" i="12"/>
  <c r="A64" i="12"/>
  <c r="A56" i="12"/>
  <c r="A75" i="12"/>
  <c r="A54" i="12"/>
  <c r="A62" i="12"/>
  <c r="C23" i="6"/>
  <c r="A72" i="12"/>
  <c r="A65" i="12"/>
  <c r="A59" i="12"/>
  <c r="C26" i="6"/>
  <c r="A69" i="12"/>
  <c r="C30" i="6"/>
  <c r="A67" i="12"/>
  <c r="A57" i="12"/>
  <c r="A66" i="12"/>
  <c r="C43" i="6"/>
  <c r="A52" i="12"/>
  <c r="A68" i="12"/>
  <c r="C63" i="12"/>
  <c r="Q22" i="12"/>
  <c r="A74" i="12"/>
  <c r="A47" i="6"/>
  <c r="A31" i="6"/>
  <c r="A53" i="12"/>
  <c r="D43" i="4"/>
  <c r="E43" i="4"/>
  <c r="F43" i="4"/>
  <c r="G58" i="14"/>
  <c r="F57" i="4"/>
  <c r="E57" i="4"/>
  <c r="D57" i="4"/>
  <c r="F49" i="4"/>
  <c r="E49" i="4"/>
  <c r="D49" i="4"/>
  <c r="F41" i="4"/>
  <c r="E41" i="4"/>
  <c r="D41" i="4"/>
  <c r="E60" i="4"/>
  <c r="F60" i="4"/>
  <c r="D60" i="4"/>
  <c r="E44" i="4"/>
  <c r="F44" i="4"/>
  <c r="D44" i="4"/>
  <c r="G57" i="4"/>
  <c r="G49" i="4"/>
  <c r="G41" i="4"/>
  <c r="A27" i="6"/>
  <c r="A51" i="6"/>
  <c r="A60" i="12"/>
  <c r="G55" i="14"/>
  <c r="G47" i="14"/>
  <c r="D58" i="4"/>
  <c r="F58" i="4"/>
  <c r="E58" i="4"/>
  <c r="F50" i="4"/>
  <c r="E50" i="4"/>
  <c r="D50" i="4"/>
  <c r="F42" i="4"/>
  <c r="D42" i="4"/>
  <c r="E42" i="4"/>
  <c r="E56" i="4"/>
  <c r="D56" i="4"/>
  <c r="F56" i="4"/>
  <c r="E40" i="4"/>
  <c r="D40" i="4"/>
  <c r="F40" i="4"/>
  <c r="G61" i="14"/>
  <c r="G53" i="14"/>
  <c r="G45" i="14"/>
  <c r="G52" i="14"/>
  <c r="C70" i="12"/>
  <c r="A70" i="12"/>
  <c r="D51" i="4"/>
  <c r="F51" i="4"/>
  <c r="E51" i="4"/>
  <c r="G50" i="14"/>
  <c r="G56" i="14"/>
  <c r="D55" i="4"/>
  <c r="E55" i="4"/>
  <c r="F55" i="4"/>
  <c r="D47" i="4"/>
  <c r="E47" i="4"/>
  <c r="F47" i="4"/>
  <c r="D39" i="4"/>
  <c r="F39" i="4"/>
  <c r="E39" i="4"/>
  <c r="G62" i="14"/>
  <c r="G54" i="14"/>
  <c r="G46" i="14"/>
  <c r="G48" i="14"/>
  <c r="F61" i="4"/>
  <c r="E61" i="4"/>
  <c r="D61" i="4"/>
  <c r="F53" i="4"/>
  <c r="E53" i="4"/>
  <c r="D53" i="4"/>
  <c r="F45" i="4"/>
  <c r="E45" i="4"/>
  <c r="D45" i="4"/>
  <c r="E52" i="4"/>
  <c r="D52" i="4"/>
  <c r="F52" i="4"/>
  <c r="D59" i="4"/>
  <c r="E59" i="4"/>
  <c r="F59" i="4"/>
  <c r="G59" i="14"/>
  <c r="G51" i="14"/>
  <c r="G43" i="14"/>
  <c r="F62" i="4"/>
  <c r="D62" i="4"/>
  <c r="E62" i="4"/>
  <c r="F54" i="4"/>
  <c r="D54" i="4"/>
  <c r="E54" i="4"/>
  <c r="D46" i="4"/>
  <c r="F46" i="4"/>
  <c r="E46" i="4"/>
  <c r="F38" i="4"/>
  <c r="E38" i="4"/>
  <c r="D38" i="4"/>
  <c r="E48" i="4"/>
  <c r="D48" i="4"/>
  <c r="F48" i="4"/>
  <c r="G57" i="14"/>
  <c r="G49" i="14"/>
  <c r="G60" i="14"/>
  <c r="G44" i="14"/>
  <c r="N22" i="12"/>
  <c r="A71" i="12"/>
  <c r="C71" i="12"/>
  <c r="A46" i="6"/>
  <c r="C27" i="13"/>
  <c r="C44" i="6"/>
  <c r="C17" i="13"/>
  <c r="A21" i="12"/>
  <c r="C48" i="6"/>
  <c r="A50" i="6"/>
  <c r="C45" i="6"/>
  <c r="C22" i="6"/>
  <c r="C49" i="6"/>
  <c r="A42" i="6"/>
  <c r="C34" i="6"/>
  <c r="A53" i="6"/>
  <c r="A59" i="6"/>
  <c r="A61" i="6"/>
  <c r="A64" i="6"/>
  <c r="A60" i="6"/>
  <c r="A70" i="6"/>
  <c r="A74" i="6"/>
  <c r="A68" i="6"/>
  <c r="A65" i="6"/>
  <c r="A56" i="6"/>
  <c r="A54" i="6"/>
  <c r="A45" i="6"/>
  <c r="A57" i="6"/>
  <c r="A48" i="6"/>
  <c r="A58" i="6"/>
  <c r="A55" i="6"/>
  <c r="C12" i="9"/>
  <c r="C29" i="6"/>
  <c r="C18" i="6"/>
  <c r="C32" i="6"/>
  <c r="C36" i="6"/>
  <c r="C24" i="6"/>
  <c r="C28" i="6"/>
  <c r="C20" i="6"/>
  <c r="C25" i="6"/>
  <c r="C41" i="6"/>
  <c r="C40" i="6"/>
  <c r="C21" i="6"/>
  <c r="C37" i="6"/>
  <c r="C19" i="6"/>
  <c r="C33" i="6"/>
  <c r="Q17" i="1"/>
  <c r="N73" i="1"/>
  <c r="N69" i="1"/>
  <c r="N74" i="1"/>
  <c r="N70" i="1"/>
  <c r="K74" i="1"/>
  <c r="K70" i="1"/>
  <c r="K75" i="1"/>
  <c r="K71" i="1"/>
  <c r="K67" i="1"/>
  <c r="N76" i="1"/>
  <c r="N72" i="1"/>
  <c r="N68" i="1"/>
  <c r="N63" i="1"/>
  <c r="N59" i="1"/>
  <c r="N55" i="1"/>
  <c r="N66" i="1"/>
  <c r="N62" i="1"/>
  <c r="N58" i="1"/>
  <c r="N54" i="1"/>
  <c r="K66" i="1"/>
  <c r="K62" i="1"/>
  <c r="K58" i="1"/>
  <c r="K54" i="1"/>
  <c r="K65" i="1"/>
  <c r="K61" i="1"/>
  <c r="K57" i="1"/>
  <c r="K53" i="1"/>
  <c r="N65" i="1"/>
  <c r="N61" i="1"/>
  <c r="N57" i="1"/>
  <c r="N53" i="1"/>
  <c r="N64" i="1"/>
  <c r="N60" i="1"/>
  <c r="N56" i="1"/>
  <c r="N52" i="1"/>
  <c r="N51" i="1"/>
  <c r="N47" i="1"/>
  <c r="N43" i="1"/>
  <c r="N39" i="1"/>
  <c r="N35" i="1"/>
  <c r="N31" i="1"/>
  <c r="N27" i="1"/>
  <c r="N48" i="1"/>
  <c r="N44" i="1"/>
  <c r="N40" i="1"/>
  <c r="N36" i="1"/>
  <c r="N32" i="1"/>
  <c r="N28" i="1"/>
  <c r="K50" i="1"/>
  <c r="K46" i="1"/>
  <c r="K42" i="1"/>
  <c r="K38" i="1"/>
  <c r="K34" i="1"/>
  <c r="K30" i="1"/>
  <c r="K51" i="1"/>
  <c r="K47" i="1"/>
  <c r="K43" i="1"/>
  <c r="K39" i="1"/>
  <c r="K35" i="1"/>
  <c r="K31" i="1"/>
  <c r="K27" i="1"/>
  <c r="N49" i="1"/>
  <c r="N45" i="1"/>
  <c r="N41" i="1"/>
  <c r="N37" i="1"/>
  <c r="N33" i="1"/>
  <c r="N29" i="1"/>
  <c r="N26" i="1"/>
  <c r="C27" i="12" l="1"/>
  <c r="C46" i="12"/>
  <c r="C32" i="12"/>
  <c r="T17" i="12"/>
  <c r="W17" i="12" s="1"/>
  <c r="H18" i="12" s="1"/>
  <c r="T18" i="12" s="1"/>
  <c r="C19" i="12"/>
  <c r="C49" i="12"/>
  <c r="C37" i="12"/>
  <c r="C36" i="12"/>
  <c r="C35" i="12"/>
  <c r="C23" i="12"/>
  <c r="C29" i="12"/>
  <c r="C26" i="12"/>
  <c r="C25" i="12"/>
  <c r="C22" i="12"/>
  <c r="C41" i="12"/>
  <c r="C40" i="12"/>
  <c r="C20" i="12"/>
  <c r="A41" i="12"/>
  <c r="C39" i="12"/>
  <c r="C24" i="12"/>
  <c r="C28" i="12"/>
  <c r="C30" i="12"/>
  <c r="E3" i="14"/>
  <c r="A17" i="12"/>
  <c r="C34" i="12"/>
  <c r="C38" i="12"/>
  <c r="A42" i="12"/>
  <c r="A33" i="12"/>
  <c r="E39" i="14"/>
  <c r="C18" i="12"/>
  <c r="D41" i="14"/>
  <c r="D42" i="14"/>
  <c r="D40" i="14"/>
  <c r="D39" i="14"/>
  <c r="D38" i="14"/>
  <c r="E7" i="14"/>
  <c r="E41" i="14"/>
  <c r="E40" i="14"/>
  <c r="E42" i="14"/>
  <c r="E38" i="14"/>
  <c r="A37" i="12"/>
  <c r="D5" i="14"/>
  <c r="D4" i="14"/>
  <c r="A36" i="12"/>
  <c r="A49" i="12"/>
  <c r="E4" i="14"/>
  <c r="A45" i="12"/>
  <c r="D6" i="14"/>
  <c r="D7" i="14"/>
  <c r="E5" i="14"/>
  <c r="N4" i="14"/>
  <c r="E6" i="14"/>
  <c r="E19" i="14"/>
  <c r="A29" i="12"/>
  <c r="C52" i="12"/>
  <c r="C54" i="12"/>
  <c r="AF8" i="12"/>
  <c r="AF9" i="12" s="1"/>
  <c r="E27" i="14"/>
  <c r="E25" i="14"/>
  <c r="E22" i="14"/>
  <c r="E28" i="14"/>
  <c r="E21" i="14"/>
  <c r="E14" i="14"/>
  <c r="E30" i="14"/>
  <c r="AI8" i="12"/>
  <c r="AI9" i="12" s="1"/>
  <c r="E15" i="14"/>
  <c r="E12" i="14"/>
  <c r="E31" i="14"/>
  <c r="E23" i="14"/>
  <c r="E20" i="14"/>
  <c r="E36" i="14"/>
  <c r="E13" i="14"/>
  <c r="E33" i="14"/>
  <c r="E29" i="14"/>
  <c r="E8" i="14"/>
  <c r="E16" i="14"/>
  <c r="E24" i="14"/>
  <c r="E32" i="14"/>
  <c r="E11" i="14"/>
  <c r="E37" i="14"/>
  <c r="E17" i="14"/>
  <c r="E9" i="14"/>
  <c r="E35" i="14"/>
  <c r="E10" i="14"/>
  <c r="E18" i="14"/>
  <c r="E26" i="14"/>
  <c r="E34" i="14"/>
  <c r="D35" i="14"/>
  <c r="D28" i="14"/>
  <c r="D13" i="14"/>
  <c r="D19" i="14"/>
  <c r="D31" i="14"/>
  <c r="D14" i="14"/>
  <c r="D34" i="14"/>
  <c r="D26" i="14"/>
  <c r="D9" i="14"/>
  <c r="D22" i="14"/>
  <c r="D24" i="14"/>
  <c r="D25" i="14"/>
  <c r="D37" i="14"/>
  <c r="D10" i="14"/>
  <c r="D36" i="14"/>
  <c r="D33" i="14"/>
  <c r="D12" i="14"/>
  <c r="D8" i="14"/>
  <c r="D32" i="14"/>
  <c r="D15" i="14"/>
  <c r="D17" i="14"/>
  <c r="D29" i="14"/>
  <c r="D20" i="14"/>
  <c r="D30" i="14"/>
  <c r="D27" i="14"/>
  <c r="D23" i="14"/>
  <c r="D16" i="14"/>
  <c r="D21" i="14"/>
  <c r="D11" i="14"/>
  <c r="D18" i="14"/>
  <c r="C28" i="13"/>
  <c r="C16" i="13"/>
  <c r="C39" i="6"/>
  <c r="A39" i="6"/>
  <c r="C35" i="6"/>
  <c r="A35" i="6"/>
  <c r="C38" i="6"/>
  <c r="A38" i="6"/>
  <c r="C11" i="9"/>
  <c r="G11" i="9" s="1"/>
  <c r="T17" i="1"/>
  <c r="E18" i="1" s="1"/>
  <c r="Q18" i="1" s="1"/>
  <c r="AF8" i="1"/>
  <c r="AF9" i="1" s="1"/>
  <c r="AC8" i="1"/>
  <c r="AI8" i="1" s="1"/>
  <c r="T18" i="1"/>
  <c r="E19" i="1" s="1"/>
  <c r="Q19" i="1" s="1"/>
  <c r="T19" i="1" s="1"/>
  <c r="E20" i="1" s="1"/>
  <c r="Q20" i="1" s="1"/>
  <c r="T20" i="1" s="1"/>
  <c r="E21" i="1" s="1"/>
  <c r="Q21" i="1" s="1"/>
  <c r="T21" i="1" s="1"/>
  <c r="E22" i="1" s="1"/>
  <c r="Q22" i="1" s="1"/>
  <c r="T22" i="1" s="1"/>
  <c r="E23" i="1" s="1"/>
  <c r="F3" i="14" l="1"/>
  <c r="G3" i="14" s="1"/>
  <c r="AL9" i="12"/>
  <c r="AJ4" i="12" s="1"/>
  <c r="AD7" i="13" s="1"/>
  <c r="K4" i="14"/>
  <c r="AF12" i="12"/>
  <c r="N5" i="14"/>
  <c r="AL8" i="12"/>
  <c r="F4" i="14"/>
  <c r="C29" i="13"/>
  <c r="C15" i="13"/>
  <c r="W18" i="12"/>
  <c r="H19" i="12" s="1"/>
  <c r="C10" i="9"/>
  <c r="G10" i="9" s="1"/>
  <c r="AC9" i="1"/>
  <c r="Q23" i="1"/>
  <c r="T23" i="1" s="1"/>
  <c r="E24" i="1" s="1"/>
  <c r="AG4" i="12" l="1"/>
  <c r="AK50" i="12" s="1"/>
  <c r="N6" i="14"/>
  <c r="AA7" i="13"/>
  <c r="Y7" i="13" s="1"/>
  <c r="C14" i="13"/>
  <c r="C30" i="13"/>
  <c r="T19" i="12"/>
  <c r="C9" i="9"/>
  <c r="G9" i="9" s="1"/>
  <c r="AI9" i="1"/>
  <c r="Q24" i="1"/>
  <c r="T24" i="1" s="1"/>
  <c r="E25" i="1" s="1"/>
  <c r="N7" i="14" l="1"/>
  <c r="F5" i="14"/>
  <c r="C31" i="13"/>
  <c r="C13" i="13"/>
  <c r="W19" i="12"/>
  <c r="H20" i="12" s="1"/>
  <c r="C8" i="9"/>
  <c r="G8" i="9" s="1"/>
  <c r="Q25" i="1"/>
  <c r="N8" i="14" l="1"/>
  <c r="C12" i="13"/>
  <c r="C32" i="13"/>
  <c r="T20" i="12"/>
  <c r="C7" i="9"/>
  <c r="D7" i="9" s="1"/>
  <c r="D8" i="9" s="1"/>
  <c r="D9" i="9" s="1"/>
  <c r="D10" i="9" s="1"/>
  <c r="D11" i="9" s="1"/>
  <c r="D12" i="9" s="1"/>
  <c r="D13" i="9" s="1"/>
  <c r="D14" i="9" s="1"/>
  <c r="D15" i="9" s="1"/>
  <c r="D16" i="9" s="1"/>
  <c r="D17" i="9" s="1"/>
  <c r="D18" i="9" s="1"/>
  <c r="D19" i="9" s="1"/>
  <c r="D20" i="9" s="1"/>
  <c r="T25" i="1"/>
  <c r="E26" i="1" s="1"/>
  <c r="Q26" i="1" s="1"/>
  <c r="N9" i="14" l="1"/>
  <c r="W20" i="12"/>
  <c r="H21" i="12" s="1"/>
  <c r="T21" i="12" s="1"/>
  <c r="W21" i="12" s="1"/>
  <c r="H22" i="12" s="1"/>
  <c r="F6" i="14"/>
  <c r="C33" i="13"/>
  <c r="C11" i="13"/>
  <c r="T26" i="1"/>
  <c r="E27" i="1" s="1"/>
  <c r="Q27" i="1" s="1"/>
  <c r="F7" i="14" l="1"/>
  <c r="G11" i="13"/>
  <c r="I11" i="13" s="1"/>
  <c r="J11" i="13" s="1"/>
  <c r="C10" i="13"/>
  <c r="C34" i="13"/>
  <c r="T22" i="12"/>
  <c r="W22" i="12" s="1"/>
  <c r="H23" i="12" s="1"/>
  <c r="T27" i="1"/>
  <c r="E28" i="1" s="1"/>
  <c r="Q28" i="1" s="1"/>
  <c r="F8" i="14" l="1"/>
  <c r="G10" i="13"/>
  <c r="I10" i="13" s="1"/>
  <c r="J10" i="13" s="1"/>
  <c r="C9" i="13"/>
  <c r="C35" i="13"/>
  <c r="T23" i="12"/>
  <c r="T28" i="1"/>
  <c r="E29" i="1" s="1"/>
  <c r="Q29" i="1" s="1"/>
  <c r="W23" i="12" l="1"/>
  <c r="H24" i="12" s="1"/>
  <c r="T24" i="12" s="1"/>
  <c r="F9" i="14"/>
  <c r="C36" i="13"/>
  <c r="G9" i="13"/>
  <c r="I9" i="13" s="1"/>
  <c r="J9" i="13" s="1"/>
  <c r="C8" i="13"/>
  <c r="T29" i="1"/>
  <c r="E30" i="1" s="1"/>
  <c r="Q30" i="1" s="1"/>
  <c r="W24" i="12" l="1"/>
  <c r="H25" i="12" s="1"/>
  <c r="T25" i="12" s="1"/>
  <c r="F10" i="14"/>
  <c r="C37" i="13"/>
  <c r="C7" i="13"/>
  <c r="G8" i="13"/>
  <c r="I8" i="13" s="1"/>
  <c r="J8" i="13" s="1"/>
  <c r="T30" i="1"/>
  <c r="E31" i="1" s="1"/>
  <c r="Q31" i="1" s="1"/>
  <c r="W25" i="12" l="1"/>
  <c r="H26" i="12" s="1"/>
  <c r="F11" i="14"/>
  <c r="D7" i="13"/>
  <c r="D8" i="13" s="1"/>
  <c r="D9" i="13" s="1"/>
  <c r="D10" i="13" s="1"/>
  <c r="D11" i="13" s="1"/>
  <c r="D12" i="13" s="1"/>
  <c r="D13" i="13" s="1"/>
  <c r="D14" i="13" s="1"/>
  <c r="D15" i="13" s="1"/>
  <c r="D16" i="13" s="1"/>
  <c r="D17" i="13" s="1"/>
  <c r="D18" i="13" s="1"/>
  <c r="D19" i="13" s="1"/>
  <c r="D20" i="13" s="1"/>
  <c r="C38" i="13"/>
  <c r="T26" i="12"/>
  <c r="T31" i="1"/>
  <c r="E32" i="1" s="1"/>
  <c r="Q32" i="1" s="1"/>
  <c r="W26" i="12" l="1"/>
  <c r="H27" i="12" s="1"/>
  <c r="T27" i="12" s="1"/>
  <c r="F12" i="14"/>
  <c r="C39" i="13"/>
  <c r="T32" i="1"/>
  <c r="E33" i="1" s="1"/>
  <c r="Q33" i="1" s="1"/>
  <c r="W27" i="12" l="1"/>
  <c r="H28" i="12" s="1"/>
  <c r="T28" i="12" s="1"/>
  <c r="F13" i="14"/>
  <c r="C40" i="13"/>
  <c r="T33" i="1"/>
  <c r="E34" i="1" s="1"/>
  <c r="Q34" i="1" s="1"/>
  <c r="W28" i="12" l="1"/>
  <c r="H29" i="12" s="1"/>
  <c r="T29" i="12" s="1"/>
  <c r="F14" i="14"/>
  <c r="C41" i="13"/>
  <c r="T34" i="1"/>
  <c r="E35" i="1" s="1"/>
  <c r="Q35" i="1" s="1"/>
  <c r="W29" i="12" l="1"/>
  <c r="H30" i="12" s="1"/>
  <c r="T30" i="12" s="1"/>
  <c r="F15" i="14"/>
  <c r="C42" i="13"/>
  <c r="T35" i="1"/>
  <c r="E36" i="1" s="1"/>
  <c r="Q36" i="1" s="1"/>
  <c r="W30" i="12" l="1"/>
  <c r="H31" i="12" s="1"/>
  <c r="T31" i="12" s="1"/>
  <c r="F16" i="14"/>
  <c r="C43" i="13"/>
  <c r="T36" i="1"/>
  <c r="E37" i="1" s="1"/>
  <c r="Q37" i="1" s="1"/>
  <c r="W31" i="12" l="1"/>
  <c r="H32" i="12" s="1"/>
  <c r="T32" i="12" s="1"/>
  <c r="F17" i="14"/>
  <c r="C44" i="13"/>
  <c r="T37" i="1"/>
  <c r="E38" i="1" s="1"/>
  <c r="Q38" i="1" s="1"/>
  <c r="W32" i="12" l="1"/>
  <c r="H33" i="12" s="1"/>
  <c r="T33" i="12" s="1"/>
  <c r="F18" i="14"/>
  <c r="C45" i="13"/>
  <c r="T38" i="1"/>
  <c r="E39" i="1" s="1"/>
  <c r="Q39" i="1" s="1"/>
  <c r="W33" i="12" l="1"/>
  <c r="H34" i="12" s="1"/>
  <c r="T34" i="12" s="1"/>
  <c r="F19" i="14"/>
  <c r="C46" i="13"/>
  <c r="T39" i="1"/>
  <c r="E40" i="1" s="1"/>
  <c r="Q40" i="1" s="1"/>
  <c r="W34" i="12" l="1"/>
  <c r="H35" i="12" s="1"/>
  <c r="T35" i="12" s="1"/>
  <c r="F20" i="14"/>
  <c r="C47" i="13"/>
  <c r="T40" i="1"/>
  <c r="E41" i="1" s="1"/>
  <c r="Q41" i="1" s="1"/>
  <c r="W35" i="12" l="1"/>
  <c r="H36" i="12" s="1"/>
  <c r="T36" i="12" s="1"/>
  <c r="F21" i="14"/>
  <c r="C48" i="13"/>
  <c r="T41" i="1"/>
  <c r="E42" i="1" s="1"/>
  <c r="Q42" i="1" s="1"/>
  <c r="W36" i="12" l="1"/>
  <c r="H37" i="12" s="1"/>
  <c r="T37" i="12" s="1"/>
  <c r="F22" i="14"/>
  <c r="C49" i="13"/>
  <c r="T42" i="1"/>
  <c r="E43" i="1" s="1"/>
  <c r="Q43" i="1" s="1"/>
  <c r="W37" i="12" l="1"/>
  <c r="H38" i="12" s="1"/>
  <c r="T38" i="12" s="1"/>
  <c r="F23" i="14"/>
  <c r="C50" i="13"/>
  <c r="T43" i="1"/>
  <c r="E44" i="1" s="1"/>
  <c r="Q44" i="1" s="1"/>
  <c r="W38" i="12" l="1"/>
  <c r="H39" i="12" s="1"/>
  <c r="T39" i="12" s="1"/>
  <c r="F24" i="14"/>
  <c r="C51" i="13"/>
  <c r="T44" i="1"/>
  <c r="E45" i="1" s="1"/>
  <c r="Q45" i="1" s="1"/>
  <c r="W39" i="12" l="1"/>
  <c r="H40" i="12" s="1"/>
  <c r="T40" i="12" s="1"/>
  <c r="F25" i="14"/>
  <c r="C52" i="13"/>
  <c r="T45" i="1"/>
  <c r="E46" i="1" s="1"/>
  <c r="Q46" i="1" s="1"/>
  <c r="W40" i="12" l="1"/>
  <c r="H41" i="12" s="1"/>
  <c r="T41" i="12" s="1"/>
  <c r="F26" i="14"/>
  <c r="C53" i="13"/>
  <c r="T46" i="1"/>
  <c r="E47" i="1" s="1"/>
  <c r="Q47" i="1" s="1"/>
  <c r="W41" i="12" l="1"/>
  <c r="F27" i="14"/>
  <c r="T47" i="1"/>
  <c r="E48" i="1" s="1"/>
  <c r="Q48" i="1" s="1"/>
  <c r="H42" i="12" l="1"/>
  <c r="T42" i="12" s="1"/>
  <c r="F28" i="14" s="1"/>
  <c r="T48" i="1"/>
  <c r="E49" i="1" s="1"/>
  <c r="Q49" i="1" s="1"/>
  <c r="W42" i="12" l="1"/>
  <c r="H43" i="12" s="1"/>
  <c r="T43" i="12" s="1"/>
  <c r="F29" i="14" s="1"/>
  <c r="T49" i="1"/>
  <c r="E50" i="1" s="1"/>
  <c r="Q50" i="1" s="1"/>
  <c r="W43" i="12" l="1"/>
  <c r="H44" i="12" s="1"/>
  <c r="T44" i="12" s="1"/>
  <c r="F30" i="14" s="1"/>
  <c r="T50" i="1"/>
  <c r="E51" i="1" s="1"/>
  <c r="Q51" i="1" s="1"/>
  <c r="W44" i="12" l="1"/>
  <c r="H45" i="12" s="1"/>
  <c r="T45" i="12" s="1"/>
  <c r="F31" i="14" s="1"/>
  <c r="T51" i="1"/>
  <c r="E52" i="1" s="1"/>
  <c r="Q52" i="1" s="1"/>
  <c r="W45" i="12" l="1"/>
  <c r="H46" i="12" s="1"/>
  <c r="T46" i="12" s="1"/>
  <c r="F32" i="14" s="1"/>
  <c r="T52" i="1"/>
  <c r="E53" i="1" s="1"/>
  <c r="Q53" i="1" s="1"/>
  <c r="G38" i="4"/>
  <c r="W46" i="12" l="1"/>
  <c r="T53" i="1"/>
  <c r="E54" i="1" s="1"/>
  <c r="Q54" i="1"/>
  <c r="T54" i="1" s="1"/>
  <c r="E55" i="1" s="1"/>
  <c r="H47" i="12" l="1"/>
  <c r="T47" i="12" s="1"/>
  <c r="F33" i="14" s="1"/>
  <c r="F8" i="13"/>
  <c r="G39" i="4"/>
  <c r="Q55" i="1"/>
  <c r="T55" i="1" s="1"/>
  <c r="E56" i="1" s="1"/>
  <c r="W47" i="12" l="1"/>
  <c r="H48" i="12" s="1"/>
  <c r="T48" i="12" s="1"/>
  <c r="F34" i="14" s="1"/>
  <c r="Q56" i="1"/>
  <c r="T56" i="1" s="1"/>
  <c r="E57" i="1" s="1"/>
  <c r="W48" i="12" l="1"/>
  <c r="H49" i="12" s="1"/>
  <c r="T49" i="12" s="1"/>
  <c r="F35" i="14" s="1"/>
  <c r="Q57" i="1"/>
  <c r="T57" i="1" s="1"/>
  <c r="E58" i="1" s="1"/>
  <c r="W49" i="12" l="1"/>
  <c r="H50" i="12" s="1"/>
  <c r="T50" i="12" s="1"/>
  <c r="F36" i="14" s="1"/>
  <c r="Q58" i="1"/>
  <c r="T58" i="1" s="1"/>
  <c r="E59" i="1" s="1"/>
  <c r="W50" i="12" l="1"/>
  <c r="H51" i="12" s="1"/>
  <c r="T51" i="12" s="1"/>
  <c r="W51" i="12" s="1"/>
  <c r="H52" i="12" s="1"/>
  <c r="Q59" i="1"/>
  <c r="T59" i="1" s="1"/>
  <c r="E60" i="1" s="1"/>
  <c r="F37" i="14" l="1"/>
  <c r="T52" i="12"/>
  <c r="F38" i="14" s="1"/>
  <c r="G38" i="14" s="1"/>
  <c r="L13" i="13"/>
  <c r="Q60" i="1"/>
  <c r="T60" i="1" s="1"/>
  <c r="E61" i="1" s="1"/>
  <c r="W52" i="12" l="1"/>
  <c r="H53" i="12" s="1"/>
  <c r="Q61" i="1"/>
  <c r="T61" i="1" s="1"/>
  <c r="E62" i="1" s="1"/>
  <c r="T53" i="12" l="1"/>
  <c r="F39" i="14" s="1"/>
  <c r="G39" i="14" s="1"/>
  <c r="Q62" i="1"/>
  <c r="T62" i="1" s="1"/>
  <c r="E63" i="1" s="1"/>
  <c r="W53" i="12" l="1"/>
  <c r="H54" i="12" s="1"/>
  <c r="Q63" i="1"/>
  <c r="T63" i="1" s="1"/>
  <c r="E64" i="1" s="1"/>
  <c r="T54" i="12" l="1"/>
  <c r="Q64" i="1"/>
  <c r="T64" i="1" s="1"/>
  <c r="E65" i="1" s="1"/>
  <c r="W54" i="12" l="1"/>
  <c r="H55" i="12" s="1"/>
  <c r="F40" i="14"/>
  <c r="G40" i="14" s="1"/>
  <c r="T55" i="12"/>
  <c r="Q65" i="1"/>
  <c r="T65" i="1" s="1"/>
  <c r="E66" i="1" s="1"/>
  <c r="W55" i="12" l="1"/>
  <c r="H56" i="12" s="1"/>
  <c r="F41" i="14"/>
  <c r="G41" i="14" s="1"/>
  <c r="T56" i="12"/>
  <c r="Q66" i="1"/>
  <c r="T66" i="1" s="1"/>
  <c r="E67" i="1" s="1"/>
  <c r="AL10" i="12" l="1"/>
  <c r="AL11" i="12" s="1"/>
  <c r="F42" i="14"/>
  <c r="G42" i="14" s="1"/>
  <c r="W56" i="12"/>
  <c r="R18" i="13" s="1"/>
  <c r="Q67" i="1"/>
  <c r="T67" i="1" s="1"/>
  <c r="E68" i="1" s="1"/>
  <c r="AF10" i="12" l="1"/>
  <c r="AI10" i="12" s="1"/>
  <c r="AF11" i="12"/>
  <c r="AI11" i="12" s="1"/>
  <c r="Q68" i="1"/>
  <c r="T68" i="1" s="1"/>
  <c r="E69" i="1" s="1"/>
  <c r="Q69" i="1" l="1"/>
  <c r="T69" i="1" s="1"/>
  <c r="E70" i="1" s="1"/>
  <c r="Q70" i="1" l="1"/>
  <c r="T70" i="1" s="1"/>
  <c r="E71" i="1" s="1"/>
  <c r="Q71" i="1" l="1"/>
  <c r="T71" i="1" s="1"/>
  <c r="E72" i="1" s="1"/>
  <c r="Q72" i="1" l="1"/>
  <c r="T72" i="1" s="1"/>
  <c r="E73" i="1" s="1"/>
  <c r="Q73" i="1" l="1"/>
  <c r="T73" i="1" s="1"/>
  <c r="E74" i="1" s="1"/>
  <c r="Q74" i="1" l="1"/>
  <c r="T74" i="1" s="1"/>
  <c r="E75" i="1" s="1"/>
  <c r="Q75" i="1" l="1"/>
  <c r="T75" i="1" s="1"/>
  <c r="E76" i="1" s="1"/>
  <c r="Q76" i="1" l="1"/>
  <c r="AC10" i="1" s="1"/>
  <c r="T76" i="1" l="1"/>
  <c r="AC11" i="1"/>
  <c r="F17" i="6" l="1"/>
  <c r="C3" i="4" s="1"/>
  <c r="J3" i="4" s="1"/>
  <c r="J4" i="4" s="1"/>
  <c r="J5" i="4" s="1"/>
  <c r="N3" i="4" l="1"/>
  <c r="K17" i="6"/>
  <c r="H17" i="6"/>
  <c r="N17" i="6" l="1"/>
  <c r="D6" i="4" s="1"/>
  <c r="B17" i="6"/>
  <c r="H3" i="4" s="1"/>
  <c r="N4" i="4"/>
  <c r="K8" i="14"/>
  <c r="K7" i="14"/>
  <c r="K5" i="14"/>
  <c r="K6" i="14"/>
  <c r="K3" i="14"/>
  <c r="K12" i="14"/>
  <c r="K9" i="14"/>
  <c r="D19" i="4"/>
  <c r="D20" i="4"/>
  <c r="D13" i="4"/>
  <c r="A17" i="6"/>
  <c r="Q17" i="6"/>
  <c r="D26" i="4" l="1"/>
  <c r="D3" i="4"/>
  <c r="K3" i="4" s="1"/>
  <c r="D9" i="4"/>
  <c r="K5" i="4" s="1"/>
  <c r="D16" i="4"/>
  <c r="D11" i="4"/>
  <c r="D29" i="4"/>
  <c r="D36" i="4"/>
  <c r="D35" i="4"/>
  <c r="D30" i="4"/>
  <c r="D25" i="4"/>
  <c r="D32" i="4"/>
  <c r="D31" i="4"/>
  <c r="D18" i="4"/>
  <c r="D37" i="4"/>
  <c r="D21" i="4"/>
  <c r="D5" i="4"/>
  <c r="K4" i="4" s="1"/>
  <c r="D28" i="4"/>
  <c r="D8" i="4"/>
  <c r="D27" i="4"/>
  <c r="D7" i="4"/>
  <c r="D14" i="4"/>
  <c r="AF8" i="6"/>
  <c r="AF9" i="6" s="1"/>
  <c r="D33" i="4"/>
  <c r="D17" i="4"/>
  <c r="D22" i="4"/>
  <c r="D24" i="4"/>
  <c r="D4" i="4"/>
  <c r="D23" i="4"/>
  <c r="D34" i="4"/>
  <c r="D10" i="4"/>
  <c r="D12" i="4"/>
  <c r="D15" i="4"/>
  <c r="K12" i="4"/>
  <c r="K6" i="4"/>
  <c r="N5" i="4"/>
  <c r="L15" i="4"/>
  <c r="L12" i="14"/>
  <c r="L9" i="14"/>
  <c r="L8" i="14"/>
  <c r="L7" i="14"/>
  <c r="L5" i="14"/>
  <c r="L4" i="14"/>
  <c r="L6" i="14"/>
  <c r="L3" i="14"/>
  <c r="AI8" i="6"/>
  <c r="AI9" i="6" s="1"/>
  <c r="AL9" i="6" s="1"/>
  <c r="E5" i="4"/>
  <c r="E9" i="4"/>
  <c r="E13" i="4"/>
  <c r="E17" i="4"/>
  <c r="E21" i="4"/>
  <c r="E25" i="4"/>
  <c r="E29" i="4"/>
  <c r="E33" i="4"/>
  <c r="E37" i="4"/>
  <c r="E6" i="4"/>
  <c r="E10" i="4"/>
  <c r="E14" i="4"/>
  <c r="E18" i="4"/>
  <c r="E22" i="4"/>
  <c r="E26" i="4"/>
  <c r="E30" i="4"/>
  <c r="E34" i="4"/>
  <c r="E7" i="4"/>
  <c r="E11" i="4"/>
  <c r="E15" i="4"/>
  <c r="E19" i="4"/>
  <c r="E23" i="4"/>
  <c r="E27" i="4"/>
  <c r="E31" i="4"/>
  <c r="E35" i="4"/>
  <c r="E4" i="4"/>
  <c r="E3" i="4"/>
  <c r="L3" i="4" s="1"/>
  <c r="E8" i="4"/>
  <c r="E12" i="4"/>
  <c r="E16" i="4"/>
  <c r="E20" i="4"/>
  <c r="E24" i="4"/>
  <c r="E28" i="4"/>
  <c r="E32" i="4"/>
  <c r="E36" i="4"/>
  <c r="T17" i="6"/>
  <c r="C17" i="6"/>
  <c r="AF12" i="6" s="1"/>
  <c r="L6" i="4" l="1"/>
  <c r="L4" i="4"/>
  <c r="L7" i="4"/>
  <c r="N6" i="4"/>
  <c r="L5" i="4"/>
  <c r="L12" i="4"/>
  <c r="AL8" i="6"/>
  <c r="L16" i="4"/>
  <c r="AJ4" i="6"/>
  <c r="AL4" i="6"/>
  <c r="AK50" i="6" s="1"/>
  <c r="W17" i="6"/>
  <c r="H18" i="6" s="1"/>
  <c r="T18" i="6" s="1"/>
  <c r="F3" i="4"/>
  <c r="AG4" i="6"/>
  <c r="N7" i="4" l="1"/>
  <c r="K7" i="4"/>
  <c r="W18" i="6"/>
  <c r="H19" i="6" s="1"/>
  <c r="T19" i="6" s="1"/>
  <c r="W19" i="6" s="1"/>
  <c r="H20" i="6" s="1"/>
  <c r="G4" i="14"/>
  <c r="M3" i="14"/>
  <c r="O3" i="14"/>
  <c r="M3" i="4"/>
  <c r="G3" i="4"/>
  <c r="O3" i="4" s="1"/>
  <c r="F4" i="4"/>
  <c r="G4" i="4" s="1"/>
  <c r="N8" i="4" l="1"/>
  <c r="K8" i="4"/>
  <c r="L8" i="4"/>
  <c r="G5" i="14"/>
  <c r="F5" i="4"/>
  <c r="G5" i="4" s="1"/>
  <c r="T20" i="6"/>
  <c r="W20" i="6" s="1"/>
  <c r="H21" i="6" s="1"/>
  <c r="G7" i="14" l="1"/>
  <c r="G6" i="14"/>
  <c r="F6" i="4"/>
  <c r="G6" i="4" s="1"/>
  <c r="T21" i="6"/>
  <c r="W21" i="6" l="1"/>
  <c r="H22" i="6" s="1"/>
  <c r="T22" i="6" s="1"/>
  <c r="F7" i="4"/>
  <c r="G7" i="4" s="1"/>
  <c r="W22" i="6" l="1"/>
  <c r="H23" i="6" s="1"/>
  <c r="T23" i="6" s="1"/>
  <c r="G8" i="14"/>
  <c r="F8" i="4"/>
  <c r="G8" i="4" s="1"/>
  <c r="G9" i="14" l="1"/>
  <c r="O4" i="14" s="1"/>
  <c r="M4" i="14"/>
  <c r="W23" i="6"/>
  <c r="H24" i="6" s="1"/>
  <c r="T24" i="6" s="1"/>
  <c r="G10" i="14" s="1"/>
  <c r="F9" i="4"/>
  <c r="W24" i="6" l="1"/>
  <c r="H25" i="6" s="1"/>
  <c r="F10" i="4"/>
  <c r="G10" i="4" s="1"/>
  <c r="G9" i="4"/>
  <c r="O4" i="4" s="1"/>
  <c r="M4" i="4"/>
  <c r="T25" i="6"/>
  <c r="G11" i="14" s="1"/>
  <c r="W25" i="6" l="1"/>
  <c r="H26" i="6" s="1"/>
  <c r="T26" i="6" s="1"/>
  <c r="F11" i="4"/>
  <c r="G11" i="4" s="1"/>
  <c r="G12" i="14" l="1"/>
  <c r="M5" i="14"/>
  <c r="W26" i="6"/>
  <c r="H27" i="6" s="1"/>
  <c r="T27" i="6" s="1"/>
  <c r="G13" i="14" s="1"/>
  <c r="F12" i="4"/>
  <c r="O5" i="14" l="1"/>
  <c r="G12" i="4"/>
  <c r="M5" i="4"/>
  <c r="W27" i="6"/>
  <c r="H28" i="6" s="1"/>
  <c r="T28" i="6" s="1"/>
  <c r="G14" i="14" s="1"/>
  <c r="F13" i="4"/>
  <c r="G13" i="4" s="1"/>
  <c r="O5" i="4" l="1"/>
  <c r="W28" i="6"/>
  <c r="H29" i="6" s="1"/>
  <c r="T29" i="6" s="1"/>
  <c r="G15" i="14" s="1"/>
  <c r="F14" i="4"/>
  <c r="G14" i="4" s="1"/>
  <c r="W29" i="6" l="1"/>
  <c r="H30" i="6" s="1"/>
  <c r="T30" i="6" s="1"/>
  <c r="F15" i="4"/>
  <c r="G15" i="4" s="1"/>
  <c r="G16" i="14" l="1"/>
  <c r="M6" i="14"/>
  <c r="W30" i="6"/>
  <c r="H31" i="6" s="1"/>
  <c r="T31" i="6" s="1"/>
  <c r="G17" i="14" s="1"/>
  <c r="F16" i="4"/>
  <c r="W31" i="6" l="1"/>
  <c r="H32" i="6" s="1"/>
  <c r="F17" i="4"/>
  <c r="G17" i="4" s="1"/>
  <c r="G16" i="4"/>
  <c r="O6" i="4" s="1"/>
  <c r="M6" i="4"/>
  <c r="T32" i="6"/>
  <c r="G18" i="14" s="1"/>
  <c r="O6" i="14" s="1"/>
  <c r="W32" i="6" l="1"/>
  <c r="H33" i="6" s="1"/>
  <c r="T33" i="6" s="1"/>
  <c r="F18" i="4"/>
  <c r="G18" i="4" s="1"/>
  <c r="G19" i="14" l="1"/>
  <c r="M7" i="14"/>
  <c r="W33" i="6"/>
  <c r="H34" i="6" s="1"/>
  <c r="T34" i="6" s="1"/>
  <c r="G20" i="14" s="1"/>
  <c r="F19" i="4"/>
  <c r="M7" i="4" l="1"/>
  <c r="G19" i="4"/>
  <c r="W34" i="6"/>
  <c r="H35" i="6" s="1"/>
  <c r="T35" i="6" s="1"/>
  <c r="G21" i="14" s="1"/>
  <c r="F20" i="4"/>
  <c r="G20" i="4" s="1"/>
  <c r="O7" i="4" l="1"/>
  <c r="W35" i="6"/>
  <c r="H36" i="6" s="1"/>
  <c r="T36" i="6" s="1"/>
  <c r="G22" i="14" s="1"/>
  <c r="F21" i="4"/>
  <c r="G21" i="4" s="1"/>
  <c r="W36" i="6" l="1"/>
  <c r="H37" i="6" s="1"/>
  <c r="T37" i="6" s="1"/>
  <c r="F22" i="4"/>
  <c r="G22" i="4" s="1"/>
  <c r="G23" i="14" l="1"/>
  <c r="O7" i="14" s="1"/>
  <c r="M8" i="14"/>
  <c r="W37" i="6"/>
  <c r="H38" i="6" s="1"/>
  <c r="T38" i="6" s="1"/>
  <c r="G24" i="14" s="1"/>
  <c r="F23" i="4"/>
  <c r="W38" i="6" l="1"/>
  <c r="H39" i="6" s="1"/>
  <c r="T39" i="6" s="1"/>
  <c r="G25" i="14" s="1"/>
  <c r="F24" i="4"/>
  <c r="G24" i="4" s="1"/>
  <c r="G23" i="4"/>
  <c r="O8" i="4" s="1"/>
  <c r="M8" i="4"/>
  <c r="W39" i="6" l="1"/>
  <c r="H40" i="6" s="1"/>
  <c r="T40" i="6" s="1"/>
  <c r="F25" i="4"/>
  <c r="G25" i="4" s="1"/>
  <c r="G26" i="14" l="1"/>
  <c r="M9" i="14"/>
  <c r="W40" i="6"/>
  <c r="H41" i="6" s="1"/>
  <c r="T41" i="6" s="1"/>
  <c r="F26" i="4"/>
  <c r="F27" i="4" l="1"/>
  <c r="G27" i="4" s="1"/>
  <c r="G27" i="14"/>
  <c r="G26" i="4"/>
  <c r="W41" i="6"/>
  <c r="H42" i="6" l="1"/>
  <c r="T42" i="6" s="1"/>
  <c r="G28" i="14" s="1"/>
  <c r="O8" i="14" s="1"/>
  <c r="H8" i="13"/>
  <c r="F9" i="13" s="1"/>
  <c r="H9" i="13" s="1"/>
  <c r="F10" i="13" s="1"/>
  <c r="H10" i="13" s="1"/>
  <c r="F11" i="13" s="1"/>
  <c r="H11" i="13" s="1"/>
  <c r="F12" i="13" s="1"/>
  <c r="W42" i="6" l="1"/>
  <c r="H43" i="6" s="1"/>
  <c r="T43" i="6" s="1"/>
  <c r="G29" i="14" s="1"/>
  <c r="F28" i="4"/>
  <c r="G28" i="4" s="1"/>
  <c r="W43" i="6" l="1"/>
  <c r="H44" i="6" s="1"/>
  <c r="T44" i="6" s="1"/>
  <c r="F29" i="4"/>
  <c r="G29" i="4" s="1"/>
  <c r="H12" i="13"/>
  <c r="F13" i="13" s="1"/>
  <c r="G13" i="13" s="1"/>
  <c r="I12" i="13"/>
  <c r="J12" i="13" s="1"/>
  <c r="G30" i="14" l="1"/>
  <c r="W44" i="6"/>
  <c r="H45" i="6" s="1"/>
  <c r="T45" i="6" s="1"/>
  <c r="G31" i="14" s="1"/>
  <c r="F30" i="4"/>
  <c r="H13" i="13"/>
  <c r="F14" i="13" s="1"/>
  <c r="G14" i="13" s="1"/>
  <c r="I13" i="13"/>
  <c r="J13" i="13" s="1"/>
  <c r="G30" i="4" l="1"/>
  <c r="W45" i="6"/>
  <c r="H46" i="6" s="1"/>
  <c r="T46" i="6" s="1"/>
  <c r="G32" i="14" s="1"/>
  <c r="F31" i="4"/>
  <c r="G31" i="4" s="1"/>
  <c r="H14" i="13"/>
  <c r="F15" i="13" s="1"/>
  <c r="G15" i="13" s="1"/>
  <c r="I14" i="13"/>
  <c r="J14" i="13" s="1"/>
  <c r="H52" i="6"/>
  <c r="T52" i="6" s="1"/>
  <c r="W52" i="6" s="1"/>
  <c r="H53" i="6" s="1"/>
  <c r="T53" i="6"/>
  <c r="W53" i="6" s="1"/>
  <c r="H54" i="6" s="1"/>
  <c r="W46" i="6" l="1"/>
  <c r="F8" i="9" s="1"/>
  <c r="H8" i="9" s="1"/>
  <c r="F9" i="9" s="1"/>
  <c r="H9" i="9" s="1"/>
  <c r="F10" i="9" s="1"/>
  <c r="H10" i="9" s="1"/>
  <c r="F11" i="9" s="1"/>
  <c r="H11" i="9" s="1"/>
  <c r="F12" i="9" s="1"/>
  <c r="G12" i="9" s="1"/>
  <c r="F32" i="4"/>
  <c r="G32" i="4" s="1"/>
  <c r="H15" i="13"/>
  <c r="F16" i="13" s="1"/>
  <c r="G16" i="13" s="1"/>
  <c r="I15" i="13"/>
  <c r="J15" i="13" s="1"/>
  <c r="T54" i="6"/>
  <c r="W54" i="6" s="1"/>
  <c r="H55" i="6" s="1"/>
  <c r="R12" i="9" l="1"/>
  <c r="H12" i="9"/>
  <c r="F13" i="9" s="1"/>
  <c r="G13" i="9" s="1"/>
  <c r="H47" i="6"/>
  <c r="T47" i="6" s="1"/>
  <c r="H16" i="13"/>
  <c r="F17" i="13" s="1"/>
  <c r="G17" i="13" s="1"/>
  <c r="I16" i="13"/>
  <c r="J16" i="13" s="1"/>
  <c r="T55" i="6"/>
  <c r="W55" i="6"/>
  <c r="H13" i="9" l="1"/>
  <c r="F14" i="9" s="1"/>
  <c r="G14" i="9" s="1"/>
  <c r="G33" i="14"/>
  <c r="O9" i="14" s="1"/>
  <c r="W47" i="6"/>
  <c r="H48" i="6" s="1"/>
  <c r="T48" i="6" s="1"/>
  <c r="G34" i="14" s="1"/>
  <c r="F33" i="4"/>
  <c r="M13" i="13"/>
  <c r="O13" i="13" s="1"/>
  <c r="P13" i="13" s="1"/>
  <c r="H17" i="13"/>
  <c r="F18" i="13" s="1"/>
  <c r="G18" i="13" s="1"/>
  <c r="I17" i="13"/>
  <c r="J17" i="13" s="1"/>
  <c r="H56" i="6"/>
  <c r="H57" i="6"/>
  <c r="T57" i="6"/>
  <c r="W57" i="6" s="1"/>
  <c r="H14" i="9" l="1"/>
  <c r="F15" i="9" s="1"/>
  <c r="G15" i="9" s="1"/>
  <c r="N13" i="13"/>
  <c r="L14" i="13" s="1"/>
  <c r="M14" i="13" s="1"/>
  <c r="O14" i="13" s="1"/>
  <c r="P14" i="13" s="1"/>
  <c r="G33" i="4"/>
  <c r="W48" i="6"/>
  <c r="H49" i="6" s="1"/>
  <c r="T49" i="6" s="1"/>
  <c r="G35" i="14" s="1"/>
  <c r="F34" i="4"/>
  <c r="G34" i="4" s="1"/>
  <c r="H18" i="13"/>
  <c r="F19" i="13" s="1"/>
  <c r="G19" i="13" s="1"/>
  <c r="I18" i="13"/>
  <c r="J18" i="13" s="1"/>
  <c r="T56" i="6"/>
  <c r="W56" i="6" s="1"/>
  <c r="H58" i="6"/>
  <c r="T58" i="6"/>
  <c r="H15" i="9" l="1"/>
  <c r="F16" i="9" s="1"/>
  <c r="G16" i="9" s="1"/>
  <c r="N14" i="13"/>
  <c r="L15" i="13" s="1"/>
  <c r="W49" i="6"/>
  <c r="H50" i="6" s="1"/>
  <c r="T50" i="6" s="1"/>
  <c r="G36" i="14" s="1"/>
  <c r="F35" i="4"/>
  <c r="G35" i="4" s="1"/>
  <c r="H19" i="13"/>
  <c r="F20" i="13" s="1"/>
  <c r="G20" i="13" s="1"/>
  <c r="I19" i="13"/>
  <c r="J19" i="13" s="1"/>
  <c r="W58" i="6"/>
  <c r="H16" i="9" l="1"/>
  <c r="F17" i="9" s="1"/>
  <c r="G17" i="9" s="1"/>
  <c r="W50" i="6"/>
  <c r="H51" i="6" s="1"/>
  <c r="T51" i="6" s="1"/>
  <c r="F36" i="4"/>
  <c r="G36" i="4" s="1"/>
  <c r="M15" i="13"/>
  <c r="O15" i="13" s="1"/>
  <c r="P15" i="13" s="1"/>
  <c r="H20" i="13"/>
  <c r="F21" i="13" s="1"/>
  <c r="G21" i="13" s="1"/>
  <c r="I20" i="13"/>
  <c r="J20" i="13" s="1"/>
  <c r="H17" i="9" l="1"/>
  <c r="F18" i="9" s="1"/>
  <c r="G18" i="9" s="1"/>
  <c r="G37" i="14"/>
  <c r="O12" i="14" s="1"/>
  <c r="M12" i="14"/>
  <c r="N15" i="13"/>
  <c r="L16" i="13" s="1"/>
  <c r="W51" i="6"/>
  <c r="J13" i="9" s="1"/>
  <c r="F37" i="4"/>
  <c r="AF10" i="6"/>
  <c r="H21" i="13"/>
  <c r="F22" i="13" s="1"/>
  <c r="G22" i="13" s="1"/>
  <c r="I21" i="13"/>
  <c r="J21" i="13" s="1"/>
  <c r="H18" i="9" l="1"/>
  <c r="F19" i="9" s="1"/>
  <c r="G19" i="9" s="1"/>
  <c r="K13" i="9"/>
  <c r="AF11" i="6"/>
  <c r="L17" i="4"/>
  <c r="G37" i="4"/>
  <c r="O12" i="4" s="1"/>
  <c r="M12" i="4"/>
  <c r="N18" i="9"/>
  <c r="O18" i="9" s="1"/>
  <c r="M16" i="13"/>
  <c r="O16" i="13" s="1"/>
  <c r="P16" i="13" s="1"/>
  <c r="H22" i="13"/>
  <c r="F23" i="13" s="1"/>
  <c r="G23" i="13" s="1"/>
  <c r="I22" i="13"/>
  <c r="J22" i="13" s="1"/>
  <c r="H19" i="9"/>
  <c r="F20" i="9" s="1"/>
  <c r="G20" i="9" s="1"/>
  <c r="R18" i="9" l="1"/>
  <c r="L13" i="9"/>
  <c r="J14" i="9" s="1"/>
  <c r="K14" i="9" s="1"/>
  <c r="L14" i="9" s="1"/>
  <c r="J15" i="9" s="1"/>
  <c r="N16" i="13"/>
  <c r="L17" i="13" s="1"/>
  <c r="S18" i="13"/>
  <c r="U18" i="13" s="1"/>
  <c r="V18" i="13" s="1"/>
  <c r="H23" i="13"/>
  <c r="F24" i="13" s="1"/>
  <c r="G24" i="13" s="1"/>
  <c r="I23" i="13"/>
  <c r="J23" i="13" s="1"/>
  <c r="H20" i="9"/>
  <c r="F21" i="9" s="1"/>
  <c r="G21" i="9" s="1"/>
  <c r="P18" i="9" l="1"/>
  <c r="N19" i="9" s="1"/>
  <c r="K15" i="9"/>
  <c r="L15" i="9" s="1"/>
  <c r="J16" i="9" s="1"/>
  <c r="T18" i="13"/>
  <c r="R19" i="13" s="1"/>
  <c r="S19" i="13" s="1"/>
  <c r="U19" i="13" s="1"/>
  <c r="V19" i="13" s="1"/>
  <c r="M17" i="13"/>
  <c r="O17" i="13" s="1"/>
  <c r="P17" i="13" s="1"/>
  <c r="H24" i="13"/>
  <c r="F25" i="13" s="1"/>
  <c r="G25" i="13" s="1"/>
  <c r="I24" i="13"/>
  <c r="J24" i="13" s="1"/>
  <c r="H21" i="9"/>
  <c r="F22" i="9" s="1"/>
  <c r="G22" i="9" s="1"/>
  <c r="O19" i="9" l="1"/>
  <c r="P19" i="9" s="1"/>
  <c r="N20" i="9" s="1"/>
  <c r="K16" i="9"/>
  <c r="L16" i="9" s="1"/>
  <c r="J17" i="9" s="1"/>
  <c r="N17" i="13"/>
  <c r="L18" i="13" s="1"/>
  <c r="T19" i="13"/>
  <c r="R20" i="13" s="1"/>
  <c r="H25" i="13"/>
  <c r="F26" i="13" s="1"/>
  <c r="G26" i="13" s="1"/>
  <c r="I25" i="13"/>
  <c r="J25" i="13" s="1"/>
  <c r="H22" i="9"/>
  <c r="F23" i="9" s="1"/>
  <c r="G23" i="9" s="1"/>
  <c r="O20" i="9" l="1"/>
  <c r="P20" i="9" s="1"/>
  <c r="N21" i="9" s="1"/>
  <c r="K17" i="9"/>
  <c r="L17" i="9" s="1"/>
  <c r="J18" i="9" s="1"/>
  <c r="M18" i="13"/>
  <c r="O18" i="13" s="1"/>
  <c r="P18" i="13" s="1"/>
  <c r="S20" i="13"/>
  <c r="U20" i="13" s="1"/>
  <c r="V20" i="13" s="1"/>
  <c r="H26" i="13"/>
  <c r="F27" i="13" s="1"/>
  <c r="G27" i="13" s="1"/>
  <c r="I26" i="13"/>
  <c r="J26" i="13" s="1"/>
  <c r="H23" i="9"/>
  <c r="F24" i="9" s="1"/>
  <c r="G24" i="9" s="1"/>
  <c r="O21" i="9" l="1"/>
  <c r="P21" i="9"/>
  <c r="N22" i="9" s="1"/>
  <c r="O22" i="9" s="1"/>
  <c r="K18" i="9"/>
  <c r="L18" i="9" s="1"/>
  <c r="J19" i="9" s="1"/>
  <c r="K19" i="9" s="1"/>
  <c r="L19" i="9" s="1"/>
  <c r="J20" i="9" s="1"/>
  <c r="N18" i="13"/>
  <c r="L19" i="13" s="1"/>
  <c r="M19" i="13" s="1"/>
  <c r="T20" i="13"/>
  <c r="R21" i="13" s="1"/>
  <c r="H27" i="13"/>
  <c r="F28" i="13" s="1"/>
  <c r="G28" i="13" s="1"/>
  <c r="I27" i="13"/>
  <c r="J27" i="13" s="1"/>
  <c r="H24" i="9"/>
  <c r="P22" i="9" l="1"/>
  <c r="N23" i="9" s="1"/>
  <c r="O23" i="9" s="1"/>
  <c r="P23" i="9" s="1"/>
  <c r="N24" i="9" s="1"/>
  <c r="O24" i="9" s="1"/>
  <c r="K20" i="9"/>
  <c r="L20" i="9" s="1"/>
  <c r="J21" i="9" s="1"/>
  <c r="O19" i="13"/>
  <c r="P19" i="13" s="1"/>
  <c r="N19" i="13"/>
  <c r="L20" i="13" s="1"/>
  <c r="M20" i="13" s="1"/>
  <c r="O20" i="13" s="1"/>
  <c r="P20" i="13" s="1"/>
  <c r="S21" i="13"/>
  <c r="U21" i="13" s="1"/>
  <c r="V21" i="13" s="1"/>
  <c r="H28" i="13"/>
  <c r="F29" i="13" s="1"/>
  <c r="G29" i="13" s="1"/>
  <c r="I28" i="13"/>
  <c r="J28" i="13" s="1"/>
  <c r="F25" i="9"/>
  <c r="P24" i="9" l="1"/>
  <c r="N25" i="9" s="1"/>
  <c r="O25" i="9" s="1"/>
  <c r="P25" i="9" s="1"/>
  <c r="N26" i="9" s="1"/>
  <c r="O26" i="9" s="1"/>
  <c r="P26" i="9" s="1"/>
  <c r="N27" i="9" s="1"/>
  <c r="O27" i="9" s="1"/>
  <c r="P27" i="9" s="1"/>
  <c r="N28" i="9" s="1"/>
  <c r="O28" i="9" s="1"/>
  <c r="P28" i="9" s="1"/>
  <c r="N29" i="9" s="1"/>
  <c r="O29" i="9" s="1"/>
  <c r="P29" i="9" s="1"/>
  <c r="N30" i="9" s="1"/>
  <c r="O30" i="9" s="1"/>
  <c r="P30" i="9" s="1"/>
  <c r="N31" i="9" s="1"/>
  <c r="O31" i="9" s="1"/>
  <c r="P31" i="9" s="1"/>
  <c r="N32" i="9" s="1"/>
  <c r="R24" i="9"/>
  <c r="K21" i="9"/>
  <c r="L21" i="9" s="1"/>
  <c r="J22" i="9" s="1"/>
  <c r="T21" i="13"/>
  <c r="R22" i="13" s="1"/>
  <c r="S22" i="13" s="1"/>
  <c r="N20" i="13"/>
  <c r="L21" i="13" s="1"/>
  <c r="H29" i="13"/>
  <c r="F30" i="13" s="1"/>
  <c r="G30" i="13" s="1"/>
  <c r="I29" i="13"/>
  <c r="J29" i="13" s="1"/>
  <c r="G25" i="9"/>
  <c r="H25" i="9" s="1"/>
  <c r="F26" i="9" s="1"/>
  <c r="K22" i="9" l="1"/>
  <c r="L22" i="9" s="1"/>
  <c r="J23" i="9" s="1"/>
  <c r="U22" i="13"/>
  <c r="V22" i="13" s="1"/>
  <c r="T22" i="13"/>
  <c r="R23" i="13" s="1"/>
  <c r="S23" i="13" s="1"/>
  <c r="M21" i="13"/>
  <c r="O21" i="13" s="1"/>
  <c r="P21" i="13" s="1"/>
  <c r="H30" i="13"/>
  <c r="F31" i="13" s="1"/>
  <c r="G31" i="13" s="1"/>
  <c r="I30" i="13"/>
  <c r="J30" i="13" s="1"/>
  <c r="O32" i="9"/>
  <c r="G26" i="9"/>
  <c r="H26" i="9" s="1"/>
  <c r="F27" i="9" s="1"/>
  <c r="P32" i="9" l="1"/>
  <c r="N33" i="9" s="1"/>
  <c r="R32" i="9"/>
  <c r="K23" i="9"/>
  <c r="L23" i="9" s="1"/>
  <c r="J24" i="9" s="1"/>
  <c r="U23" i="13"/>
  <c r="V23" i="13" s="1"/>
  <c r="T23" i="13"/>
  <c r="R24" i="13" s="1"/>
  <c r="S24" i="13" s="1"/>
  <c r="U24" i="13" s="1"/>
  <c r="V24" i="13" s="1"/>
  <c r="N21" i="13"/>
  <c r="L22" i="13" s="1"/>
  <c r="H31" i="13"/>
  <c r="F32" i="13" s="1"/>
  <c r="G32" i="13" s="1"/>
  <c r="I31" i="13"/>
  <c r="J31" i="13" s="1"/>
  <c r="O33" i="9"/>
  <c r="P33" i="9" s="1"/>
  <c r="N34" i="9" s="1"/>
  <c r="G27" i="9"/>
  <c r="H27" i="9" s="1"/>
  <c r="F28" i="9" s="1"/>
  <c r="K24" i="9" l="1"/>
  <c r="L24" i="9" s="1"/>
  <c r="J25" i="9" s="1"/>
  <c r="T24" i="13"/>
  <c r="R25" i="13" s="1"/>
  <c r="S25" i="13" s="1"/>
  <c r="U25" i="13" s="1"/>
  <c r="V25" i="13" s="1"/>
  <c r="M22" i="13"/>
  <c r="O22" i="13" s="1"/>
  <c r="P22" i="13" s="1"/>
  <c r="H32" i="13"/>
  <c r="F33" i="13" s="1"/>
  <c r="G33" i="13" s="1"/>
  <c r="I32" i="13"/>
  <c r="J32" i="13" s="1"/>
  <c r="O34" i="9"/>
  <c r="P34" i="9" s="1"/>
  <c r="N35" i="9" s="1"/>
  <c r="G28" i="9"/>
  <c r="H28" i="9" s="1"/>
  <c r="F29" i="9" s="1"/>
  <c r="K25" i="9" l="1"/>
  <c r="L25" i="9" s="1"/>
  <c r="J26" i="9" s="1"/>
  <c r="T25" i="13"/>
  <c r="R26" i="13" s="1"/>
  <c r="S26" i="13" s="1"/>
  <c r="N22" i="13"/>
  <c r="L23" i="13" s="1"/>
  <c r="H33" i="13"/>
  <c r="F34" i="13" s="1"/>
  <c r="G34" i="13" s="1"/>
  <c r="I33" i="13"/>
  <c r="J33" i="13" s="1"/>
  <c r="O35" i="9"/>
  <c r="P35" i="9" s="1"/>
  <c r="N36" i="9" s="1"/>
  <c r="G29" i="9"/>
  <c r="H29" i="9" s="1"/>
  <c r="F30" i="9" s="1"/>
  <c r="K26" i="9" l="1"/>
  <c r="L26" i="9" s="1"/>
  <c r="J27" i="9" s="1"/>
  <c r="K27" i="9" s="1"/>
  <c r="L27" i="9" s="1"/>
  <c r="J28" i="9" s="1"/>
  <c r="K28" i="9" s="1"/>
  <c r="L28" i="9" s="1"/>
  <c r="J29" i="9" s="1"/>
  <c r="K29" i="9" s="1"/>
  <c r="L29" i="9" s="1"/>
  <c r="J30" i="9" s="1"/>
  <c r="K30" i="9" s="1"/>
  <c r="L30" i="9" s="1"/>
  <c r="J31" i="9" s="1"/>
  <c r="U26" i="13"/>
  <c r="V26" i="13" s="1"/>
  <c r="T26" i="13"/>
  <c r="R27" i="13" s="1"/>
  <c r="S27" i="13" s="1"/>
  <c r="U27" i="13" s="1"/>
  <c r="V27" i="13" s="1"/>
  <c r="M23" i="13"/>
  <c r="O23" i="13" s="1"/>
  <c r="P23" i="13" s="1"/>
  <c r="H34" i="13"/>
  <c r="F35" i="13" s="1"/>
  <c r="G35" i="13" s="1"/>
  <c r="I34" i="13"/>
  <c r="J34" i="13" s="1"/>
  <c r="O36" i="9"/>
  <c r="P36" i="9" s="1"/>
  <c r="N37" i="9" s="1"/>
  <c r="G30" i="9"/>
  <c r="H30" i="9" s="1"/>
  <c r="F31" i="9" s="1"/>
  <c r="N23" i="13" l="1"/>
  <c r="L24" i="13" s="1"/>
  <c r="T27" i="13"/>
  <c r="R28" i="13" s="1"/>
  <c r="H35" i="13"/>
  <c r="F36" i="13" s="1"/>
  <c r="G36" i="13" s="1"/>
  <c r="I35" i="13"/>
  <c r="J35" i="13" s="1"/>
  <c r="O37" i="9"/>
  <c r="P37" i="9" s="1"/>
  <c r="N38" i="9" s="1"/>
  <c r="K31" i="9"/>
  <c r="L31" i="9" s="1"/>
  <c r="J32" i="9" s="1"/>
  <c r="G31" i="9"/>
  <c r="H31" i="9" s="1"/>
  <c r="F32" i="9" s="1"/>
  <c r="S28" i="13" l="1"/>
  <c r="U28" i="13" s="1"/>
  <c r="V28" i="13" s="1"/>
  <c r="M24" i="13"/>
  <c r="O24" i="13" s="1"/>
  <c r="P24" i="13" s="1"/>
  <c r="H36" i="13"/>
  <c r="F37" i="13" s="1"/>
  <c r="G37" i="13" s="1"/>
  <c r="I36" i="13"/>
  <c r="J36" i="13" s="1"/>
  <c r="O38" i="9"/>
  <c r="P38" i="9" s="1"/>
  <c r="N39" i="9" s="1"/>
  <c r="K32" i="9"/>
  <c r="L32" i="9" s="1"/>
  <c r="J33" i="9" s="1"/>
  <c r="G32" i="9"/>
  <c r="H32" i="9" s="1"/>
  <c r="F33" i="9" s="1"/>
  <c r="T28" i="13" l="1"/>
  <c r="R29" i="13" s="1"/>
  <c r="S29" i="13" s="1"/>
  <c r="N24" i="13"/>
  <c r="L25" i="13" s="1"/>
  <c r="H37" i="13"/>
  <c r="F38" i="13" s="1"/>
  <c r="G38" i="13" s="1"/>
  <c r="I37" i="13"/>
  <c r="J37" i="13" s="1"/>
  <c r="O39" i="9"/>
  <c r="P39" i="9" s="1"/>
  <c r="N40" i="9" s="1"/>
  <c r="K33" i="9"/>
  <c r="L33" i="9" s="1"/>
  <c r="J34" i="9" s="1"/>
  <c r="G33" i="9"/>
  <c r="H33" i="9" s="1"/>
  <c r="F34" i="9" s="1"/>
  <c r="U29" i="13" l="1"/>
  <c r="V29" i="13" s="1"/>
  <c r="T29" i="13"/>
  <c r="R30" i="13" s="1"/>
  <c r="S30" i="13" s="1"/>
  <c r="U30" i="13" s="1"/>
  <c r="V30" i="13" s="1"/>
  <c r="M25" i="13"/>
  <c r="O25" i="13" s="1"/>
  <c r="P25" i="13" s="1"/>
  <c r="H38" i="13"/>
  <c r="F39" i="13" s="1"/>
  <c r="G39" i="13" s="1"/>
  <c r="I38" i="13"/>
  <c r="J38" i="13" s="1"/>
  <c r="O40" i="9"/>
  <c r="P40" i="9" s="1"/>
  <c r="N41" i="9" s="1"/>
  <c r="K34" i="9"/>
  <c r="L34" i="9" s="1"/>
  <c r="J35" i="9" s="1"/>
  <c r="G34" i="9"/>
  <c r="H34" i="9" s="1"/>
  <c r="F35" i="9" s="1"/>
  <c r="N25" i="13" l="1"/>
  <c r="L26" i="13" s="1"/>
  <c r="T30" i="13"/>
  <c r="R31" i="13" s="1"/>
  <c r="H39" i="13"/>
  <c r="F40" i="13" s="1"/>
  <c r="G40" i="13" s="1"/>
  <c r="I39" i="13"/>
  <c r="J39" i="13" s="1"/>
  <c r="O41" i="9"/>
  <c r="P41" i="9" s="1"/>
  <c r="N42" i="9" s="1"/>
  <c r="K35" i="9"/>
  <c r="L35" i="9" s="1"/>
  <c r="J36" i="9" s="1"/>
  <c r="G35" i="9"/>
  <c r="H35" i="9" s="1"/>
  <c r="F36" i="9" s="1"/>
  <c r="S31" i="13" l="1"/>
  <c r="U31" i="13" s="1"/>
  <c r="V31" i="13" s="1"/>
  <c r="M26" i="13"/>
  <c r="O26" i="13" s="1"/>
  <c r="P26" i="13" s="1"/>
  <c r="H40" i="13"/>
  <c r="F41" i="13" s="1"/>
  <c r="G41" i="13" s="1"/>
  <c r="I40" i="13"/>
  <c r="J40" i="13" s="1"/>
  <c r="O42" i="9"/>
  <c r="P42" i="9" s="1"/>
  <c r="N43" i="9" s="1"/>
  <c r="K36" i="9"/>
  <c r="L36" i="9" s="1"/>
  <c r="J37" i="9" s="1"/>
  <c r="G36" i="9"/>
  <c r="H36" i="9" s="1"/>
  <c r="F37" i="9" s="1"/>
  <c r="N26" i="13" l="1"/>
  <c r="L27" i="13" s="1"/>
  <c r="T31" i="13"/>
  <c r="R32" i="13" s="1"/>
  <c r="H41" i="13"/>
  <c r="F42" i="13" s="1"/>
  <c r="G42" i="13" s="1"/>
  <c r="I41" i="13"/>
  <c r="J41" i="13" s="1"/>
  <c r="O43" i="9"/>
  <c r="P43" i="9" s="1"/>
  <c r="N44" i="9" s="1"/>
  <c r="K37" i="9"/>
  <c r="L37" i="9" s="1"/>
  <c r="J38" i="9" s="1"/>
  <c r="G37" i="9"/>
  <c r="H37" i="9" s="1"/>
  <c r="F38" i="9" s="1"/>
  <c r="S32" i="13" l="1"/>
  <c r="U32" i="13" s="1"/>
  <c r="V32" i="13" s="1"/>
  <c r="M27" i="13"/>
  <c r="O27" i="13" s="1"/>
  <c r="P27" i="13" s="1"/>
  <c r="H42" i="13"/>
  <c r="F43" i="13" s="1"/>
  <c r="G43" i="13" s="1"/>
  <c r="I42" i="13"/>
  <c r="J42" i="13" s="1"/>
  <c r="O44" i="9"/>
  <c r="P44" i="9" s="1"/>
  <c r="N45" i="9" s="1"/>
  <c r="K38" i="9"/>
  <c r="L38" i="9" s="1"/>
  <c r="J39" i="9" s="1"/>
  <c r="G38" i="9"/>
  <c r="H38" i="9" s="1"/>
  <c r="F39" i="9" s="1"/>
  <c r="N27" i="13" l="1"/>
  <c r="L28" i="13" s="1"/>
  <c r="T32" i="13"/>
  <c r="R33" i="13" s="1"/>
  <c r="H43" i="13"/>
  <c r="F44" i="13" s="1"/>
  <c r="G44" i="13" s="1"/>
  <c r="I43" i="13"/>
  <c r="J43" i="13" s="1"/>
  <c r="O45" i="9"/>
  <c r="P45" i="9" s="1"/>
  <c r="N46" i="9" s="1"/>
  <c r="K39" i="9"/>
  <c r="L39" i="9" s="1"/>
  <c r="J40" i="9" s="1"/>
  <c r="G39" i="9"/>
  <c r="H39" i="9" s="1"/>
  <c r="F40" i="9" s="1"/>
  <c r="S33" i="13" l="1"/>
  <c r="U33" i="13" s="1"/>
  <c r="V33" i="13" s="1"/>
  <c r="M28" i="13"/>
  <c r="O28" i="13" s="1"/>
  <c r="P28" i="13" s="1"/>
  <c r="H44" i="13"/>
  <c r="F45" i="13" s="1"/>
  <c r="G45" i="13" s="1"/>
  <c r="I44" i="13"/>
  <c r="J44" i="13" s="1"/>
  <c r="O46" i="9"/>
  <c r="P46" i="9" s="1"/>
  <c r="N47" i="9" s="1"/>
  <c r="K40" i="9"/>
  <c r="L40" i="9" s="1"/>
  <c r="J41" i="9" s="1"/>
  <c r="G40" i="9"/>
  <c r="H40" i="9" s="1"/>
  <c r="F41" i="9" s="1"/>
  <c r="T33" i="13" l="1"/>
  <c r="R34" i="13" s="1"/>
  <c r="S34" i="13" s="1"/>
  <c r="U34" i="13" s="1"/>
  <c r="V34" i="13" s="1"/>
  <c r="N28" i="13"/>
  <c r="L29" i="13" s="1"/>
  <c r="H45" i="13"/>
  <c r="F46" i="13" s="1"/>
  <c r="G46" i="13" s="1"/>
  <c r="I45" i="13"/>
  <c r="J45" i="13" s="1"/>
  <c r="O47" i="9"/>
  <c r="P47" i="9" s="1"/>
  <c r="N48" i="9" s="1"/>
  <c r="K41" i="9"/>
  <c r="L41" i="9" s="1"/>
  <c r="J42" i="9" s="1"/>
  <c r="G41" i="9"/>
  <c r="H41" i="9" s="1"/>
  <c r="F42" i="9" s="1"/>
  <c r="T34" i="13" l="1"/>
  <c r="R35" i="13" s="1"/>
  <c r="S35" i="13" s="1"/>
  <c r="U35" i="13" s="1"/>
  <c r="V35" i="13" s="1"/>
  <c r="M29" i="13"/>
  <c r="O29" i="13" s="1"/>
  <c r="P29" i="13" s="1"/>
  <c r="H46" i="13"/>
  <c r="F47" i="13" s="1"/>
  <c r="G47" i="13" s="1"/>
  <c r="I46" i="13"/>
  <c r="J46" i="13" s="1"/>
  <c r="O48" i="9"/>
  <c r="P48" i="9" s="1"/>
  <c r="N49" i="9" s="1"/>
  <c r="K42" i="9"/>
  <c r="L42" i="9" s="1"/>
  <c r="J43" i="9" s="1"/>
  <c r="G42" i="9"/>
  <c r="H42" i="9" s="1"/>
  <c r="F43" i="9" s="1"/>
  <c r="T35" i="13" l="1"/>
  <c r="R36" i="13" s="1"/>
  <c r="S36" i="13" s="1"/>
  <c r="U36" i="13" s="1"/>
  <c r="V36" i="13" s="1"/>
  <c r="N29" i="13"/>
  <c r="L30" i="13" s="1"/>
  <c r="H47" i="13"/>
  <c r="F48" i="13" s="1"/>
  <c r="G48" i="13" s="1"/>
  <c r="I47" i="13"/>
  <c r="J47" i="13" s="1"/>
  <c r="O49" i="9"/>
  <c r="P49" i="9" s="1"/>
  <c r="N50" i="9" s="1"/>
  <c r="K43" i="9"/>
  <c r="L43" i="9" s="1"/>
  <c r="J44" i="9" s="1"/>
  <c r="G43" i="9"/>
  <c r="H43" i="9" s="1"/>
  <c r="F44" i="9" s="1"/>
  <c r="T36" i="13" l="1"/>
  <c r="R37" i="13" s="1"/>
  <c r="S37" i="13" s="1"/>
  <c r="U37" i="13" s="1"/>
  <c r="V37" i="13" s="1"/>
  <c r="M30" i="13"/>
  <c r="O30" i="13" s="1"/>
  <c r="P30" i="13" s="1"/>
  <c r="H48" i="13"/>
  <c r="F49" i="13" s="1"/>
  <c r="G49" i="13" s="1"/>
  <c r="I48" i="13"/>
  <c r="J48" i="13" s="1"/>
  <c r="O50" i="9"/>
  <c r="P50" i="9" s="1"/>
  <c r="N51" i="9" s="1"/>
  <c r="K44" i="9"/>
  <c r="L44" i="9" s="1"/>
  <c r="J45" i="9" s="1"/>
  <c r="G44" i="9"/>
  <c r="H44" i="9" s="1"/>
  <c r="F45" i="9" s="1"/>
  <c r="T37" i="13" l="1"/>
  <c r="R38" i="13" s="1"/>
  <c r="S38" i="13" s="1"/>
  <c r="U38" i="13" s="1"/>
  <c r="V38" i="13" s="1"/>
  <c r="N30" i="13"/>
  <c r="L31" i="13" s="1"/>
  <c r="H49" i="13"/>
  <c r="F50" i="13" s="1"/>
  <c r="G50" i="13" s="1"/>
  <c r="I49" i="13"/>
  <c r="J49" i="13" s="1"/>
  <c r="O51" i="9"/>
  <c r="P51" i="9" s="1"/>
  <c r="N52" i="9" s="1"/>
  <c r="K45" i="9"/>
  <c r="L45" i="9" s="1"/>
  <c r="J46" i="9" s="1"/>
  <c r="G45" i="9"/>
  <c r="H45" i="9" s="1"/>
  <c r="F46" i="9" s="1"/>
  <c r="T38" i="13" l="1"/>
  <c r="R39" i="13" s="1"/>
  <c r="S39" i="13" s="1"/>
  <c r="U39" i="13" s="1"/>
  <c r="V39" i="13" s="1"/>
  <c r="M31" i="13"/>
  <c r="O31" i="13" s="1"/>
  <c r="P31" i="13" s="1"/>
  <c r="H50" i="13"/>
  <c r="F51" i="13" s="1"/>
  <c r="G51" i="13" s="1"/>
  <c r="I50" i="13"/>
  <c r="J50" i="13" s="1"/>
  <c r="O52" i="9"/>
  <c r="P52" i="9" s="1"/>
  <c r="N53" i="9" s="1"/>
  <c r="K46" i="9"/>
  <c r="L46" i="9" s="1"/>
  <c r="J47" i="9" s="1"/>
  <c r="G46" i="9"/>
  <c r="H46" i="9" s="1"/>
  <c r="F47" i="9" s="1"/>
  <c r="N31" i="13" l="1"/>
  <c r="L32" i="13" s="1"/>
  <c r="M32" i="13" s="1"/>
  <c r="O32" i="13" s="1"/>
  <c r="P32" i="13" s="1"/>
  <c r="T39" i="13"/>
  <c r="R40" i="13" s="1"/>
  <c r="S40" i="13" s="1"/>
  <c r="H51" i="13"/>
  <c r="F52" i="13" s="1"/>
  <c r="G52" i="13" s="1"/>
  <c r="I51" i="13"/>
  <c r="J51" i="13" s="1"/>
  <c r="O53" i="9"/>
  <c r="P53" i="9" s="1"/>
  <c r="K47" i="9"/>
  <c r="L47" i="9" s="1"/>
  <c r="J48" i="9" s="1"/>
  <c r="G47" i="9"/>
  <c r="H47" i="9" s="1"/>
  <c r="F48" i="9" s="1"/>
  <c r="U40" i="13" l="1"/>
  <c r="V40" i="13" s="1"/>
  <c r="T40" i="13"/>
  <c r="R41" i="13" s="1"/>
  <c r="S41" i="13" s="1"/>
  <c r="U41" i="13" s="1"/>
  <c r="V41" i="13" s="1"/>
  <c r="N32" i="13"/>
  <c r="L33" i="13" s="1"/>
  <c r="H52" i="13"/>
  <c r="F53" i="13" s="1"/>
  <c r="G53" i="13" s="1"/>
  <c r="I52" i="13"/>
  <c r="J52" i="13" s="1"/>
  <c r="K48" i="9"/>
  <c r="L48" i="9" s="1"/>
  <c r="J49" i="9" s="1"/>
  <c r="G48" i="9"/>
  <c r="H48" i="9" s="1"/>
  <c r="F49" i="9" s="1"/>
  <c r="M33" i="13" l="1"/>
  <c r="O33" i="13" s="1"/>
  <c r="P33" i="13" s="1"/>
  <c r="T41" i="13"/>
  <c r="R42" i="13" s="1"/>
  <c r="H53" i="13"/>
  <c r="I53" i="13"/>
  <c r="J53" i="13" s="1"/>
  <c r="K49" i="9"/>
  <c r="L49" i="9" s="1"/>
  <c r="J50" i="9" s="1"/>
  <c r="G49" i="9"/>
  <c r="H49" i="9" s="1"/>
  <c r="F50" i="9" s="1"/>
  <c r="S42" i="13" l="1"/>
  <c r="U42" i="13" s="1"/>
  <c r="V42" i="13" s="1"/>
  <c r="N33" i="13"/>
  <c r="L34" i="13" s="1"/>
  <c r="K50" i="9"/>
  <c r="L50" i="9" s="1"/>
  <c r="J51" i="9" s="1"/>
  <c r="G50" i="9"/>
  <c r="H50" i="9" s="1"/>
  <c r="F51" i="9" s="1"/>
  <c r="M34" i="13" l="1"/>
  <c r="O34" i="13" s="1"/>
  <c r="P34" i="13" s="1"/>
  <c r="T42" i="13"/>
  <c r="R43" i="13" s="1"/>
  <c r="K51" i="9"/>
  <c r="L51" i="9" s="1"/>
  <c r="J52" i="9" s="1"/>
  <c r="G51" i="9"/>
  <c r="H51" i="9" s="1"/>
  <c r="F52" i="9" s="1"/>
  <c r="N34" i="13" l="1"/>
  <c r="L35" i="13" s="1"/>
  <c r="M35" i="13" s="1"/>
  <c r="O35" i="13" s="1"/>
  <c r="P35" i="13" s="1"/>
  <c r="S43" i="13"/>
  <c r="U43" i="13" s="1"/>
  <c r="V43" i="13" s="1"/>
  <c r="K52" i="9"/>
  <c r="L52" i="9" s="1"/>
  <c r="J53" i="9" s="1"/>
  <c r="G52" i="9"/>
  <c r="H52" i="9" s="1"/>
  <c r="F53" i="9" s="1"/>
  <c r="N35" i="13" l="1"/>
  <c r="L36" i="13" s="1"/>
  <c r="T43" i="13"/>
  <c r="R44" i="13" s="1"/>
  <c r="K53" i="9"/>
  <c r="L53" i="9" s="1"/>
  <c r="G53" i="9"/>
  <c r="H53" i="9" s="1"/>
  <c r="S44" i="13" l="1"/>
  <c r="U44" i="13" s="1"/>
  <c r="V44" i="13" s="1"/>
  <c r="M36" i="13"/>
  <c r="O36" i="13" s="1"/>
  <c r="P36" i="13" s="1"/>
  <c r="N36" i="13" l="1"/>
  <c r="L37" i="13" s="1"/>
  <c r="M37" i="13" s="1"/>
  <c r="O37" i="13" s="1"/>
  <c r="P37" i="13" s="1"/>
  <c r="T44" i="13"/>
  <c r="R45" i="13" s="1"/>
  <c r="S45" i="13" s="1"/>
  <c r="U45" i="13" s="1"/>
  <c r="V45" i="13" s="1"/>
  <c r="N37" i="13" l="1"/>
  <c r="L38" i="13" s="1"/>
  <c r="M38" i="13" s="1"/>
  <c r="O38" i="13" s="1"/>
  <c r="P38" i="13" s="1"/>
  <c r="T45" i="13"/>
  <c r="R46" i="13" s="1"/>
  <c r="N38" i="13" l="1"/>
  <c r="L39" i="13" s="1"/>
  <c r="M39" i="13" s="1"/>
  <c r="O39" i="13" s="1"/>
  <c r="P39" i="13" s="1"/>
  <c r="S46" i="13"/>
  <c r="U46" i="13" s="1"/>
  <c r="V46" i="13" s="1"/>
  <c r="T46" i="13" l="1"/>
  <c r="R47" i="13" s="1"/>
  <c r="S47" i="13" s="1"/>
  <c r="U47" i="13" s="1"/>
  <c r="V47" i="13" s="1"/>
  <c r="N39" i="13"/>
  <c r="L40" i="13" s="1"/>
  <c r="T47" i="13" l="1"/>
  <c r="R48" i="13" s="1"/>
  <c r="S48" i="13" s="1"/>
  <c r="M40" i="13"/>
  <c r="O40" i="13" s="1"/>
  <c r="P40" i="13" s="1"/>
  <c r="U48" i="13" l="1"/>
  <c r="V48" i="13" s="1"/>
  <c r="T48" i="13"/>
  <c r="R49" i="13" s="1"/>
  <c r="S49" i="13" s="1"/>
  <c r="U49" i="13" s="1"/>
  <c r="V49" i="13" s="1"/>
  <c r="N40" i="13"/>
  <c r="L41" i="13" s="1"/>
  <c r="M41" i="13" s="1"/>
  <c r="O41" i="13" s="1"/>
  <c r="P41" i="13" s="1"/>
  <c r="T49" i="13" l="1"/>
  <c r="R50" i="13" s="1"/>
  <c r="S50" i="13" s="1"/>
  <c r="U50" i="13" s="1"/>
  <c r="V50" i="13" s="1"/>
  <c r="N41" i="13"/>
  <c r="L42" i="13" s="1"/>
  <c r="M42" i="13" s="1"/>
  <c r="O42" i="13" s="1"/>
  <c r="P42" i="13" s="1"/>
  <c r="N42" i="13" l="1"/>
  <c r="L43" i="13" s="1"/>
  <c r="M43" i="13" s="1"/>
  <c r="O43" i="13" s="1"/>
  <c r="P43" i="13" s="1"/>
  <c r="T50" i="13"/>
  <c r="R51" i="13" s="1"/>
  <c r="N43" i="13" l="1"/>
  <c r="L44" i="13" s="1"/>
  <c r="S51" i="13"/>
  <c r="U51" i="13" s="1"/>
  <c r="V51" i="13" s="1"/>
  <c r="T51" i="13" l="1"/>
  <c r="R52" i="13" s="1"/>
  <c r="M44" i="13"/>
  <c r="O44" i="13" s="1"/>
  <c r="P44" i="13" s="1"/>
  <c r="N44" i="13" l="1"/>
  <c r="L45" i="13" s="1"/>
  <c r="M45" i="13" s="1"/>
  <c r="O45" i="13" s="1"/>
  <c r="P45" i="13" s="1"/>
  <c r="S52" i="13"/>
  <c r="U52" i="13" s="1"/>
  <c r="V52" i="13" s="1"/>
  <c r="T52" i="13" l="1"/>
  <c r="R53" i="13" s="1"/>
  <c r="S53" i="13" s="1"/>
  <c r="U53" i="13" s="1"/>
  <c r="V53" i="13" s="1"/>
  <c r="N45" i="13"/>
  <c r="L46" i="13" s="1"/>
  <c r="M46" i="13" s="1"/>
  <c r="O46" i="13" s="1"/>
  <c r="P46" i="13" s="1"/>
  <c r="N46" i="13" l="1"/>
  <c r="L47" i="13" s="1"/>
  <c r="T53" i="13"/>
  <c r="M47" i="13" l="1"/>
  <c r="O47" i="13" s="1"/>
  <c r="P47" i="13" s="1"/>
  <c r="N47" i="13" l="1"/>
  <c r="L48" i="13" s="1"/>
  <c r="M48" i="13" l="1"/>
  <c r="O48" i="13" s="1"/>
  <c r="P48" i="13" s="1"/>
  <c r="N48" i="13" l="1"/>
  <c r="L49" i="13" s="1"/>
  <c r="M49" i="13" l="1"/>
  <c r="O49" i="13" s="1"/>
  <c r="P49" i="13" s="1"/>
  <c r="N49" i="13" l="1"/>
  <c r="L50" i="13" s="1"/>
  <c r="M50" i="13" s="1"/>
  <c r="O50" i="13" s="1"/>
  <c r="P50" i="13" s="1"/>
  <c r="N50" i="13" l="1"/>
  <c r="L51" i="13" s="1"/>
  <c r="M51" i="13" s="1"/>
  <c r="O51" i="13" s="1"/>
  <c r="P51" i="13" s="1"/>
  <c r="N51" i="13" l="1"/>
  <c r="L52" i="13" s="1"/>
  <c r="M52" i="13" s="1"/>
  <c r="O52" i="13" s="1"/>
  <c r="P52" i="13" s="1"/>
  <c r="N52" i="13" l="1"/>
  <c r="L53" i="13" s="1"/>
  <c r="M53" i="13" l="1"/>
  <c r="O53" i="13" s="1"/>
  <c r="P53" i="13" s="1"/>
  <c r="N53" i="13" l="1"/>
  <c r="N10" i="14"/>
  <c r="O10" i="14"/>
  <c r="L10" i="14"/>
  <c r="K10" i="14"/>
  <c r="N11" i="14"/>
  <c r="M10" i="14"/>
  <c r="M11" i="14" l="1"/>
  <c r="L17" i="14" s="1"/>
  <c r="L11" i="14"/>
  <c r="L16" i="14" s="1"/>
  <c r="O11" i="14"/>
  <c r="K11" i="14"/>
  <c r="L15" i="14" s="1"/>
  <c r="L18" i="14" l="1"/>
  <c r="M17" i="14" s="1"/>
  <c r="M15" i="14" l="1"/>
  <c r="M16" i="14"/>
  <c r="L9" i="4"/>
  <c r="M9" i="4"/>
  <c r="N9" i="4"/>
  <c r="O9" i="4"/>
  <c r="K9" i="4"/>
  <c r="K10" i="4"/>
  <c r="M10" i="4"/>
  <c r="N10" i="4"/>
  <c r="O10" i="4"/>
  <c r="L10" i="4"/>
  <c r="N11" i="4"/>
  <c r="M11" i="4" l="1"/>
  <c r="O11" i="4"/>
  <c r="L11" i="4"/>
  <c r="K11" i="4"/>
</calcChain>
</file>

<file path=xl/comments1.xml><?xml version="1.0" encoding="utf-8"?>
<comments xmlns="http://schemas.openxmlformats.org/spreadsheetml/2006/main">
  <authors>
    <author>Windows User</author>
  </authors>
  <commentList>
    <comment ref="AI5" authorId="0" shapeId="0">
      <text>
        <r>
          <rPr>
            <b/>
            <sz val="9"/>
            <color indexed="81"/>
            <rFont val="Tahoma"/>
            <charset val="1"/>
          </rPr>
          <t>Windows User:</t>
        </r>
        <r>
          <rPr>
            <sz val="9"/>
            <color indexed="81"/>
            <rFont val="Tahoma"/>
            <charset val="1"/>
          </rPr>
          <t xml:space="preserve">
Subject to RMD
</t>
        </r>
      </text>
    </comment>
    <comment ref="K11" authorId="0" shapeId="0">
      <text>
        <r>
          <rPr>
            <b/>
            <sz val="9"/>
            <color indexed="81"/>
            <rFont val="Tahoma"/>
            <family val="2"/>
          </rPr>
          <t>Windows User:</t>
        </r>
        <r>
          <rPr>
            <sz val="9"/>
            <color indexed="81"/>
            <rFont val="Tahoma"/>
            <family val="2"/>
          </rPr>
          <t xml:space="preserve">
Try
19.5%
30% Early Retire</t>
        </r>
      </text>
    </comment>
  </commentList>
</comments>
</file>

<file path=xl/sharedStrings.xml><?xml version="1.0" encoding="utf-8"?>
<sst xmlns="http://schemas.openxmlformats.org/spreadsheetml/2006/main" count="297" uniqueCount="168">
  <si>
    <t>% of salary</t>
  </si>
  <si>
    <t>%</t>
  </si>
  <si>
    <t>Ending Balance</t>
  </si>
  <si>
    <t>Year</t>
  </si>
  <si>
    <t>Salary</t>
  </si>
  <si>
    <t>Beginning Balance</t>
  </si>
  <si>
    <t>Interest Earnings</t>
  </si>
  <si>
    <t>Your</t>
  </si>
  <si>
    <t>Employer</t>
  </si>
  <si>
    <t>Contribution</t>
  </si>
  <si>
    <t>Total</t>
  </si>
  <si>
    <t>Employer's</t>
  </si>
  <si>
    <t>Cumulative Contributions to Balance</t>
  </si>
  <si>
    <t>Balance Distribution</t>
  </si>
  <si>
    <t xml:space="preserve">  Employer Match</t>
  </si>
  <si>
    <t xml:space="preserve">  up to </t>
  </si>
  <si>
    <t xml:space="preserve">  Current Age</t>
  </si>
  <si>
    <t xml:space="preserve">  Retirement Age</t>
  </si>
  <si>
    <t xml:space="preserve">  Payments per Year</t>
  </si>
  <si>
    <t xml:space="preserve"> Withheld Salary for 401k</t>
  </si>
  <si>
    <t xml:space="preserve"> Employer's Contr. up to now</t>
  </si>
  <si>
    <t xml:space="preserve"> Your Contr. up to now</t>
  </si>
  <si>
    <t xml:space="preserve"> Current Balance</t>
  </si>
  <si>
    <t xml:space="preserve"> Exp'd Annual Salary Increase</t>
  </si>
  <si>
    <t xml:space="preserve"> Current Annual Income</t>
  </si>
  <si>
    <t xml:space="preserve"> Up to now</t>
  </si>
  <si>
    <t xml:space="preserve"> Final</t>
  </si>
  <si>
    <t xml:space="preserve"> Interest Earnings</t>
  </si>
  <si>
    <t xml:space="preserve"> Final Balance</t>
  </si>
  <si>
    <t>Yearly Balance Growth</t>
  </si>
  <si>
    <t>Your Contributions</t>
  </si>
  <si>
    <t>Employer 's Contributions</t>
  </si>
  <si>
    <t xml:space="preserve">  Avg. Annual Return</t>
  </si>
  <si>
    <t>401(k) Calculator - Traditional IRA</t>
  </si>
  <si>
    <t>S&amp;P 500 Total Returns by Year</t>
  </si>
  <si>
    <t>Annual Return</t>
  </si>
  <si>
    <r>
      <t>A high concentration in tech and </t>
    </r>
    <r>
      <rPr>
        <u/>
        <sz val="10"/>
        <color rgb="FF440099"/>
        <rFont val="Segoe UI"/>
        <family val="2"/>
      </rPr>
      <t>growth stocks</t>
    </r>
    <r>
      <rPr>
        <sz val="10"/>
        <color rgb="FF1C1D20"/>
        <rFont val="Segoe UI"/>
        <family val="2"/>
      </rPr>
      <t> leads to more volatility and higher upside. Since QQQ's inception in 2010, the fund has returned 536% through a historic, sustained bull market, compared to VOO's 228%. Through a volatile, yet positive, 2020 to date, QQQ has also outpaced Vanguard's flagship </t>
    </r>
    <r>
      <rPr>
        <u/>
        <sz val="10"/>
        <color rgb="FF440099"/>
        <rFont val="Segoe UI"/>
        <family val="2"/>
      </rPr>
      <t>S&amp;P ETF</t>
    </r>
    <r>
      <rPr>
        <sz val="10"/>
        <color rgb="FF1C1D20"/>
        <rFont val="Segoe UI"/>
        <family val="2"/>
      </rPr>
      <t> by 25 percentage points on the back of its biggest tech holdings. </t>
    </r>
  </si>
  <si>
    <t>Tax</t>
  </si>
  <si>
    <t>Rate</t>
  </si>
  <si>
    <t>For Married Individuals Filing Joint Returns</t>
  </si>
  <si>
    <t>For Heads of Households</t>
  </si>
  <si>
    <t>Up to $9,875</t>
  </si>
  <si>
    <t>Up to $19,750</t>
  </si>
  <si>
    <t>Up to $14,100</t>
  </si>
  <si>
    <t>$9,876 to $40,125</t>
  </si>
  <si>
    <t>$19,751 to $80,250</t>
  </si>
  <si>
    <t>$14,101 to $53,700</t>
  </si>
  <si>
    <t>$40,126 to $85,525</t>
  </si>
  <si>
    <t>$80,251 to $171,050</t>
  </si>
  <si>
    <t>$53,701 to $85,500</t>
  </si>
  <si>
    <t>$85,526 to $163,300</t>
  </si>
  <si>
    <t>$171,051 to $326,600</t>
  </si>
  <si>
    <t>$85,501 to $163,300</t>
  </si>
  <si>
    <t>$163,301 to $207,350</t>
  </si>
  <si>
    <t>$326,601 to $414,700</t>
  </si>
  <si>
    <t>$207,351 to $518,400</t>
  </si>
  <si>
    <t>$414,701 to $622,050</t>
  </si>
  <si>
    <t>$518,401 or more</t>
  </si>
  <si>
    <t>$622,051 or more</t>
  </si>
  <si>
    <t>Min</t>
  </si>
  <si>
    <t>Max</t>
  </si>
  <si>
    <t>Savings</t>
  </si>
  <si>
    <t>Curr Yr</t>
  </si>
  <si>
    <t>Age</t>
  </si>
  <si>
    <t>IRS Factor</t>
  </si>
  <si>
    <t>BOY</t>
  </si>
  <si>
    <t>EOY</t>
  </si>
  <si>
    <t>Life Exp</t>
  </si>
  <si>
    <t>Capital Gain</t>
  </si>
  <si>
    <t>Capital
Gain</t>
  </si>
  <si>
    <t>RMD</t>
  </si>
  <si>
    <t>EARLY RETIRE @ AGE 55</t>
  </si>
  <si>
    <t>EARLY RETIRE @ AGE 60</t>
  </si>
  <si>
    <t>Taxable
Income</t>
  </si>
  <si>
    <t>RETIRE @ AGE 65</t>
  </si>
  <si>
    <t>Top</t>
  </si>
  <si>
    <t>Tier</t>
  </si>
  <si>
    <t>10Y Avg</t>
  </si>
  <si>
    <t>20Y Avg</t>
  </si>
  <si>
    <t>30Y Avg</t>
  </si>
  <si>
    <t>40Y Avg</t>
  </si>
  <si>
    <t>Top Bracket</t>
  </si>
  <si>
    <t>Tax Tier</t>
  </si>
  <si>
    <t>The backdoor Roth IRA method is pretty easy. The general steps are:</t>
  </si>
  <si>
    <t>1. Contribute money to a traditional IRA account, making sure your brokerage offers Roth conversions (most do).</t>
  </si>
  <si>
    <t>2. Convert the account to a Roth IRA. Typically this just involves a short form, which your brokerage can provide and process. </t>
  </si>
  <si>
    <t>3. Pay any applicable taxes. You have until the tax deadline for the year in which the conversion was made to pay any applicable taxes on the converted account, but it's a smart idea to consider sending the money to the IRS right away. </t>
  </si>
  <si>
    <t>If you have a lot of traditional IRA funds you want to convert, but you don't want to pay the taxes all at once, most brokerages will allow you to make the conversion over a period of several years. </t>
  </si>
  <si>
    <t>Should I do a backdoor Roth IRA?</t>
  </si>
  <si>
    <t>As you can see, the backdoor Roth strategy can be valuable in getting money into a tax-free account. And with the possibility that tax rates go higher from here, getting as much money into Roth IRAs now could pay off in the long run. But it isn't right for everyone. So it's important to ask yourself (or your financial advisor) whether a Roth IRA makes sense for you or not. And if you make too much to contribute to a Roth IRA directly, the answer might be no.</t>
  </si>
  <si>
    <t>Of course, there's more tax certainty with a Roth IRA, as there's no way to know what U.S. tax brackets will look like by the time you're ready to retire. Plus there are other benefits, such as no required minimum distributions (RMDs) and the ability to withdraw contributions whenever you want, that add value to the Roth IRA. </t>
  </si>
  <si>
    <t>2020 FEDERAL INCOME TAX RATES</t>
  </si>
  <si>
    <t>The IRS has announced the 2021 contribution limits for retirement savings accounts, including contribution limits for 401(k), 403(b), and most 457 plans, as well as income limits for IRA contribution deductibility. Contribution limits for Health Savings Accounts (HSAs) have also been announced. Please review an overview of the limits below.</t>
  </si>
  <si>
    <t>2020 and 2021  IRA CONTRIBUTION LIMITS</t>
  </si>
  <si>
    <t>1. If you have contributed to more than one qualified retirement plan during the calendar year, it is your responsibility to ensure that you have not exceeded these limits.</t>
  </si>
  <si>
    <t>2. Company contributions include any employer matching, profit-sharing, and non-elective contributions.</t>
  </si>
  <si>
    <t>3. Amount typically not to exceed the lesser 100% of your compensation or this number. Your employer's retirement plan might limit the compensation to something less than 100%; please refer to your plan's Summary Plan Description or plan document for other applicable limits.</t>
  </si>
  <si>
    <t>Tax in Tier</t>
  </si>
  <si>
    <t>Cum Tax</t>
  </si>
  <si>
    <t>For Single</t>
  </si>
  <si>
    <t>no limit</t>
  </si>
  <si>
    <t>Traditional</t>
  </si>
  <si>
    <t>SOURCE</t>
  </si>
  <si>
    <t>Traditional IRA</t>
  </si>
  <si>
    <t>Past Tax Savings</t>
  </si>
  <si>
    <t>You</t>
  </si>
  <si>
    <t>Retirement Age</t>
  </si>
  <si>
    <t>BOY 
$K</t>
  </si>
  <si>
    <t>EOY 
$K</t>
  </si>
  <si>
    <t>Effective Tax Rate</t>
  </si>
  <si>
    <t>Lost</t>
  </si>
  <si>
    <t>Tax Benefit</t>
  </si>
  <si>
    <t>ROTH IRA</t>
  </si>
  <si>
    <t>Taxable</t>
  </si>
  <si>
    <t>Tax Free</t>
  </si>
  <si>
    <t>ROTH</t>
  </si>
  <si>
    <t>CONTRIBUTION SOURCE</t>
  </si>
  <si>
    <t>$ in '000</t>
  </si>
  <si>
    <t>Tax Savings Lost</t>
  </si>
  <si>
    <t>How to do a backdoor Roth IRA conversion?</t>
  </si>
  <si>
    <r>
      <t xml:space="preserve">Think of it this way. </t>
    </r>
    <r>
      <rPr>
        <b/>
        <sz val="10"/>
        <color rgb="FFC00000"/>
        <rFont val="Segoe UI"/>
        <family val="2"/>
      </rPr>
      <t>If you are in a low tax bracket -- say 10% or 12% -- right now</t>
    </r>
    <r>
      <rPr>
        <sz val="10"/>
        <color rgb="FF1C1D20"/>
        <rFont val="Segoe UI"/>
        <family val="2"/>
      </rPr>
      <t>, it can make great financial sense to lock in your current tax rate by contributing to a Roth IRA, and to not have to worry about taxes in retirement. On the other hand, if you're in a relatively high tax bracket right now </t>
    </r>
    <r>
      <rPr>
        <i/>
        <sz val="10"/>
        <color rgb="FF1C1D20"/>
        <rFont val="Segoe UI"/>
        <family val="2"/>
      </rPr>
      <t>and</t>
    </r>
    <r>
      <rPr>
        <sz val="10"/>
        <color rgb="FF1C1D20"/>
        <rFont val="Segoe UI"/>
        <family val="2"/>
      </rPr>
      <t> you qualify for the traditional IRA tax deduction, a traditional IRA might make more sense when it comes to tax optimization.</t>
    </r>
  </si>
  <si>
    <t>IRS PreTax Limit in 2021</t>
  </si>
  <si>
    <t>SAVE UP TO MAXIMUM PRETAX LIMIT STRATEGY</t>
  </si>
  <si>
    <t>Your ROTH Contributions</t>
  </si>
  <si>
    <t>Gain</t>
  </si>
  <si>
    <r>
      <t>401(k) Calculator - Traditional</t>
    </r>
    <r>
      <rPr>
        <b/>
        <sz val="18"/>
        <color rgb="FFC00000"/>
        <rFont val="Candara"/>
        <family val="2"/>
      </rPr>
      <t xml:space="preserve"> Pre-Tax</t>
    </r>
    <r>
      <rPr>
        <b/>
        <sz val="18"/>
        <color theme="4" tint="-0.249977111117893"/>
        <rFont val="Candara"/>
        <family val="2"/>
      </rPr>
      <t xml:space="preserve"> IRA</t>
    </r>
  </si>
  <si>
    <t>Ending
Balance</t>
  </si>
  <si>
    <t>Beginning
Balance</t>
  </si>
  <si>
    <t>Balance Mix by Source</t>
  </si>
  <si>
    <t>Contribution % Mix</t>
  </si>
  <si>
    <t>Contributions</t>
  </si>
  <si>
    <t>Dist.</t>
  </si>
  <si>
    <t>Tax
Free</t>
  </si>
  <si>
    <t>Balance by Contribution Mix</t>
  </si>
  <si>
    <t>NO</t>
  </si>
  <si>
    <t>Assumptions from Prior Page:</t>
  </si>
  <si>
    <t>Number of Years from Now</t>
  </si>
  <si>
    <t>Indexed @1%/yr</t>
  </si>
  <si>
    <t>AFTER-TAX TO BACK DOOR ROTH STRATEGY</t>
  </si>
  <si>
    <t>Age 50 and Older</t>
  </si>
  <si>
    <t>Age 49 and Under</t>
  </si>
  <si>
    <t>Contribution Limits for 401(k), 403(b), and most 457 plans</t>
  </si>
  <si>
    <t>Maximum annual contributions allowed</t>
  </si>
  <si>
    <t>Additional pre-tax and/or Roth contributions</t>
  </si>
  <si>
    <t>Ending Salary in $K</t>
  </si>
  <si>
    <t>Eff Tax%</t>
  </si>
  <si>
    <t>After Tax</t>
  </si>
  <si>
    <t>Est</t>
  </si>
  <si>
    <t>Inflation Index Assumption</t>
  </si>
  <si>
    <t>Est Tax %</t>
  </si>
  <si>
    <t>Est Tax Rate</t>
  </si>
  <si>
    <t>Note</t>
  </si>
  <si>
    <t>IRS Max Retirement Contirubtion Limit</t>
  </si>
  <si>
    <t>Ending After Tax</t>
  </si>
  <si>
    <t>Est Then Tax %</t>
  </si>
  <si>
    <t>READ THIS PAGE CAREFULLY</t>
  </si>
  <si>
    <t>10Y</t>
  </si>
  <si>
    <t>20Y</t>
  </si>
  <si>
    <t>30Y</t>
  </si>
  <si>
    <t>40Y</t>
  </si>
  <si>
    <t>95Y</t>
  </si>
  <si>
    <t>Annual Rate of Return</t>
  </si>
  <si>
    <t>S&amp;P Average (2020-1926)</t>
  </si>
  <si>
    <r>
      <t xml:space="preserve">Combined </t>
    </r>
    <r>
      <rPr>
        <b/>
        <sz val="11"/>
        <color rgb="FFC00000"/>
        <rFont val="Calibri"/>
        <family val="2"/>
        <scheme val="minor"/>
      </rPr>
      <t>Pre-Tax &amp; Roth</t>
    </r>
    <r>
      <rPr>
        <sz val="11"/>
        <color theme="1"/>
        <rFont val="Calibri"/>
        <family val="2"/>
        <scheme val="minor"/>
      </rPr>
      <t xml:space="preserve"> 401(k) contributions</t>
    </r>
  </si>
  <si>
    <r>
      <t xml:space="preserve">401(k) </t>
    </r>
    <r>
      <rPr>
        <b/>
        <sz val="11"/>
        <color rgb="FFC00000"/>
        <rFont val="Calibri"/>
        <family val="2"/>
        <scheme val="minor"/>
      </rPr>
      <t>After-Tax</t>
    </r>
    <r>
      <rPr>
        <sz val="11"/>
        <color theme="1"/>
        <rFont val="Calibri"/>
        <family val="2"/>
        <scheme val="minor"/>
      </rPr>
      <t xml:space="preserve"> Contributions and </t>
    </r>
    <r>
      <rPr>
        <b/>
        <sz val="11"/>
        <color rgb="FFC00000"/>
        <rFont val="Calibri"/>
        <family val="2"/>
        <scheme val="minor"/>
      </rPr>
      <t>Company Match</t>
    </r>
  </si>
  <si>
    <r>
      <rPr>
        <b/>
        <sz val="18"/>
        <color rgb="FF00B0F0"/>
        <rFont val="Candara"/>
        <family val="2"/>
      </rPr>
      <t>After-Tax</t>
    </r>
    <r>
      <rPr>
        <b/>
        <sz val="18"/>
        <color theme="4" tint="-0.249977111117893"/>
        <rFont val="Candara"/>
        <family val="2"/>
      </rPr>
      <t xml:space="preserve"> 401(k) Calculator - </t>
    </r>
    <r>
      <rPr>
        <b/>
        <sz val="18"/>
        <color rgb="FF00B0F0"/>
        <rFont val="Candara"/>
        <family val="2"/>
      </rPr>
      <t>Roth &amp; Back Door Roth</t>
    </r>
    <r>
      <rPr>
        <b/>
        <sz val="18"/>
        <color theme="4" tint="-0.249977111117893"/>
        <rFont val="Candara"/>
        <family val="2"/>
      </rPr>
      <t xml:space="preserve"> Strategy</t>
    </r>
  </si>
  <si>
    <t xml:space="preserve"> % Withholding for 401k</t>
  </si>
  <si>
    <t xml:space="preserve"> % Withholding of Salary &lt;=Limit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</si>
</sst>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0_);_(* \(#,##0.0\);_(* &quot;-&quot;??_);_(@_)"/>
    <numFmt numFmtId="165" formatCode="&quot;$&quot;#,##0"/>
    <numFmt numFmtId="166" formatCode="_(&quot;$&quot;* #,##0_);_(&quot;$&quot;* \(#,##0\);_(&quot;$&quot;* &quot;-&quot;??_);_(@_)"/>
    <numFmt numFmtId="167" formatCode="0.0%"/>
    <numFmt numFmtId="168" formatCode="_(* #,##0_);_(* \(#,##0\);_(* &quot;-&quot;??_);_(@_)"/>
    <numFmt numFmtId="169" formatCode="0.0"/>
  </numFmts>
  <fonts count="99"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1"/>
      <color theme="1"/>
      <name val="Bell MT"/>
      <family val="1"/>
    </font>
    <font>
      <b/>
      <sz val="11"/>
      <color theme="1"/>
      <name val="Bell MT"/>
      <family val="1"/>
    </font>
    <font>
      <sz val="10"/>
      <color theme="1"/>
      <name val="Bell MT"/>
      <family val="1"/>
    </font>
    <font>
      <b/>
      <sz val="10"/>
      <color theme="1"/>
      <name val="Bell MT"/>
      <family val="1"/>
    </font>
    <font>
      <b/>
      <sz val="10"/>
      <color theme="0"/>
      <name val="Calibri"/>
      <family val="2"/>
      <scheme val="minor"/>
    </font>
    <font>
      <sz val="10"/>
      <color theme="4" tint="-0.249977111117893"/>
      <name val="Arial"/>
      <family val="2"/>
    </font>
    <font>
      <sz val="10"/>
      <color rgb="FFC00000"/>
      <name val="Arial"/>
      <family val="2"/>
    </font>
    <font>
      <sz val="10"/>
      <color theme="1"/>
      <name val="Arial"/>
      <family val="2"/>
    </font>
    <font>
      <sz val="10"/>
      <color theme="6" tint="-0.249977111117893"/>
      <name val="Arial"/>
      <family val="2"/>
    </font>
    <font>
      <sz val="9"/>
      <color theme="4" tint="-0.249977111117893"/>
      <name val="Arial"/>
      <family val="2"/>
    </font>
    <font>
      <sz val="9"/>
      <color rgb="FFC00000"/>
      <name val="Arial"/>
      <family val="2"/>
    </font>
    <font>
      <sz val="9"/>
      <color theme="6" tint="-0.249977111117893"/>
      <name val="Arial"/>
      <family val="2"/>
    </font>
    <font>
      <b/>
      <sz val="10"/>
      <color theme="4" tint="-0.249977111117893"/>
      <name val="Calibri"/>
      <family val="2"/>
      <scheme val="minor"/>
    </font>
    <font>
      <b/>
      <sz val="10"/>
      <color theme="1"/>
      <name val="Candara"/>
      <family val="2"/>
    </font>
    <font>
      <b/>
      <sz val="10"/>
      <color theme="2"/>
      <name val="Candara"/>
      <family val="2"/>
    </font>
    <font>
      <b/>
      <sz val="12"/>
      <color theme="4" tint="-0.249977111117893"/>
      <name val="Candara"/>
      <family val="2"/>
    </font>
    <font>
      <sz val="10"/>
      <color theme="1"/>
      <name val="Candara"/>
      <family val="2"/>
    </font>
    <font>
      <b/>
      <sz val="18"/>
      <color theme="4" tint="-0.249977111117893"/>
      <name val="Candara"/>
      <family val="2"/>
    </font>
    <font>
      <b/>
      <sz val="9"/>
      <color theme="3" tint="-0.249977111117893"/>
      <name val="Arial"/>
      <family val="2"/>
    </font>
    <font>
      <sz val="9"/>
      <color theme="3" tint="-0.499984740745262"/>
      <name val="Arial"/>
      <family val="2"/>
    </font>
    <font>
      <sz val="11"/>
      <color theme="1"/>
      <name val="Calibri"/>
      <family val="2"/>
      <scheme val="minor"/>
    </font>
    <font>
      <sz val="5"/>
      <color theme="1"/>
      <name val="Calibri"/>
      <family val="2"/>
      <scheme val="minor"/>
    </font>
    <font>
      <b/>
      <sz val="11"/>
      <color theme="0"/>
      <name val="Calibri"/>
      <family val="2"/>
      <scheme val="minor"/>
    </font>
    <font>
      <u/>
      <sz val="11"/>
      <color theme="10"/>
      <name val="Calibri"/>
      <family val="2"/>
      <scheme val="minor"/>
    </font>
    <font>
      <sz val="12"/>
      <color rgb="FF373A3C"/>
      <name val="Calibri"/>
      <family val="2"/>
      <scheme val="minor"/>
    </font>
    <font>
      <sz val="12"/>
      <color theme="1"/>
      <name val="Calibri"/>
      <family val="2"/>
      <scheme val="minor"/>
    </font>
    <font>
      <sz val="12"/>
      <color rgb="FFFF0000"/>
      <name val="Calibri"/>
      <family val="2"/>
      <scheme val="minor"/>
    </font>
    <font>
      <sz val="12"/>
      <color rgb="FFFFFFFF"/>
      <name val="Calibri"/>
      <family val="2"/>
      <scheme val="minor"/>
    </font>
    <font>
      <sz val="12"/>
      <color rgb="FF495057"/>
      <name val="Calibri"/>
      <family val="2"/>
      <scheme val="minor"/>
    </font>
    <font>
      <u/>
      <sz val="12"/>
      <color theme="10"/>
      <name val="Calibri"/>
      <family val="2"/>
      <scheme val="minor"/>
    </font>
    <font>
      <b/>
      <sz val="16"/>
      <color rgb="FF373A3C"/>
      <name val="Calibri"/>
      <family val="2"/>
      <scheme val="minor"/>
    </font>
    <font>
      <sz val="10"/>
      <color rgb="FF1C1D20"/>
      <name val="Segoe UI"/>
      <family val="2"/>
    </font>
    <font>
      <u/>
      <sz val="10"/>
      <color rgb="FF440099"/>
      <name val="Segoe UI"/>
      <family val="2"/>
    </font>
    <font>
      <b/>
      <sz val="10"/>
      <color rgb="FF555555"/>
      <name val="Calibri"/>
      <family val="2"/>
      <scheme val="minor"/>
    </font>
    <font>
      <sz val="10"/>
      <color rgb="FF555555"/>
      <name val="Calibri"/>
      <family val="2"/>
      <scheme val="minor"/>
    </font>
    <font>
      <b/>
      <sz val="18"/>
      <color rgb="FFC00000"/>
      <name val="Candara"/>
      <family val="2"/>
    </font>
    <font>
      <b/>
      <sz val="11"/>
      <color theme="4"/>
      <name val="Calibri"/>
      <family val="2"/>
      <scheme val="minor"/>
    </font>
    <font>
      <sz val="11"/>
      <color theme="0" tint="-0.249977111117893"/>
      <name val="Calibri"/>
      <family val="2"/>
      <scheme val="minor"/>
    </font>
    <font>
      <b/>
      <sz val="11"/>
      <color rgb="FFC00000"/>
      <name val="Calibri"/>
      <family val="2"/>
      <scheme val="minor"/>
    </font>
    <font>
      <sz val="10"/>
      <color rgb="FF00B0F0"/>
      <name val="Calibri"/>
      <family val="2"/>
      <scheme val="minor"/>
    </font>
    <font>
      <b/>
      <sz val="14"/>
      <color theme="1"/>
      <name val="Calibri"/>
      <family val="2"/>
      <scheme val="minor"/>
    </font>
    <font>
      <b/>
      <sz val="20"/>
      <color theme="1"/>
      <name val="Calibri"/>
      <family val="2"/>
      <scheme val="minor"/>
    </font>
    <font>
      <i/>
      <sz val="10"/>
      <color rgb="FF1C1D20"/>
      <name val="Segoe UI"/>
      <family val="2"/>
    </font>
    <font>
      <sz val="10"/>
      <color rgb="FF333333"/>
      <name val="Arial"/>
      <family val="2"/>
    </font>
    <font>
      <sz val="11"/>
      <color rgb="FF333333"/>
      <name val="Arial"/>
      <family val="2"/>
    </font>
    <font>
      <sz val="10"/>
      <color theme="1"/>
      <name val="Calibri"/>
      <family val="2"/>
    </font>
    <font>
      <b/>
      <sz val="11"/>
      <color rgb="FF666699"/>
      <name val="Calibri"/>
      <family val="2"/>
    </font>
    <font>
      <b/>
      <sz val="11"/>
      <color rgb="FFC00000"/>
      <name val="Calibri"/>
      <family val="2"/>
    </font>
    <font>
      <b/>
      <sz val="12"/>
      <color theme="0"/>
      <name val="Calibri"/>
      <family val="2"/>
      <scheme val="minor"/>
    </font>
    <font>
      <b/>
      <sz val="11"/>
      <color rgb="FF666699"/>
      <name val="Calibri"/>
      <family val="2"/>
      <scheme val="minor"/>
    </font>
    <font>
      <b/>
      <sz val="18"/>
      <color rgb="FF00B0F0"/>
      <name val="Candara"/>
      <family val="2"/>
    </font>
    <font>
      <b/>
      <sz val="11"/>
      <color rgb="FF00B0F0"/>
      <name val="Calibri"/>
      <family val="2"/>
    </font>
    <font>
      <b/>
      <sz val="10"/>
      <color theme="0"/>
      <name val="Candara"/>
      <family val="2"/>
    </font>
    <font>
      <sz val="9"/>
      <color indexed="81"/>
      <name val="Tahoma"/>
      <charset val="1"/>
    </font>
    <font>
      <b/>
      <sz val="9"/>
      <color indexed="81"/>
      <name val="Tahoma"/>
      <charset val="1"/>
    </font>
    <font>
      <sz val="10"/>
      <color theme="0"/>
      <name val="Arial"/>
      <family val="2"/>
    </font>
    <font>
      <b/>
      <sz val="13"/>
      <color theme="0"/>
      <name val="Segoe UI"/>
      <family val="2"/>
    </font>
    <font>
      <b/>
      <sz val="10"/>
      <color rgb="FFC00000"/>
      <name val="Segoe UI"/>
      <family val="2"/>
    </font>
    <font>
      <b/>
      <sz val="22"/>
      <color theme="1"/>
      <name val="Calibri"/>
      <family val="2"/>
      <scheme val="minor"/>
    </font>
    <font>
      <sz val="9"/>
      <color rgb="FF00B050"/>
      <name val="Arial"/>
      <family val="2"/>
    </font>
    <font>
      <sz val="9"/>
      <color rgb="FF33CC33"/>
      <name val="Arial"/>
      <family val="2"/>
    </font>
    <font>
      <sz val="10"/>
      <color rgb="FF33CC33"/>
      <name val="Arial"/>
      <family val="2"/>
    </font>
    <font>
      <b/>
      <sz val="10"/>
      <color theme="4" tint="-0.249977111117893"/>
      <name val="Arial"/>
      <family val="2"/>
    </font>
    <font>
      <b/>
      <sz val="10"/>
      <color rgb="FFC00000"/>
      <name val="Arial"/>
      <family val="2"/>
    </font>
    <font>
      <b/>
      <sz val="10"/>
      <color theme="1"/>
      <name val="Arial"/>
      <family val="2"/>
    </font>
    <font>
      <b/>
      <sz val="10"/>
      <name val="Candara"/>
      <family val="2"/>
    </font>
    <font>
      <b/>
      <sz val="10"/>
      <color rgb="FF666699"/>
      <name val="Candara"/>
      <family val="2"/>
    </font>
    <font>
      <sz val="10"/>
      <color rgb="FF00B050"/>
      <name val="Arial"/>
      <family val="2"/>
    </font>
    <font>
      <sz val="10"/>
      <color rgb="FF00B050"/>
      <name val="Calibri"/>
      <family val="2"/>
      <scheme val="minor"/>
    </font>
    <font>
      <sz val="10"/>
      <name val="Arial"/>
      <family val="2"/>
    </font>
    <font>
      <b/>
      <sz val="10"/>
      <name val="Calibri"/>
      <family val="2"/>
      <scheme val="minor"/>
    </font>
    <font>
      <b/>
      <sz val="11"/>
      <name val="Calibri"/>
      <family val="2"/>
    </font>
    <font>
      <sz val="10"/>
      <name val="Calibri"/>
      <family val="2"/>
      <scheme val="minor"/>
    </font>
    <font>
      <b/>
      <sz val="10"/>
      <color theme="2"/>
      <name val="Calibri"/>
      <family val="2"/>
    </font>
    <font>
      <b/>
      <sz val="10"/>
      <color theme="0"/>
      <name val="Calibri"/>
      <family val="2"/>
    </font>
    <font>
      <sz val="10"/>
      <color theme="0" tint="-0.249977111117893"/>
      <name val="Calibri"/>
      <family val="2"/>
      <scheme val="minor"/>
    </font>
    <font>
      <sz val="10"/>
      <color theme="0"/>
      <name val="Calibri"/>
      <family val="2"/>
      <scheme val="minor"/>
    </font>
    <font>
      <sz val="10"/>
      <color rgb="FFC00000"/>
      <name val="Calibri"/>
      <family val="2"/>
      <scheme val="minor"/>
    </font>
    <font>
      <b/>
      <sz val="10"/>
      <color rgb="FF00B0F0"/>
      <name val="Calibri"/>
      <family val="2"/>
      <scheme val="minor"/>
    </font>
    <font>
      <sz val="9"/>
      <color indexed="81"/>
      <name val="Tahoma"/>
      <family val="2"/>
    </font>
    <font>
      <b/>
      <sz val="9"/>
      <color indexed="81"/>
      <name val="Tahoma"/>
      <family val="2"/>
    </font>
    <font>
      <b/>
      <sz val="10"/>
      <color rgb="FFC00000"/>
      <name val="Calibri"/>
      <family val="2"/>
      <scheme val="minor"/>
    </font>
    <font>
      <b/>
      <sz val="12"/>
      <color theme="1"/>
      <name val="Calibri"/>
      <family val="2"/>
      <scheme val="minor"/>
    </font>
    <font>
      <b/>
      <sz val="10"/>
      <color theme="4"/>
      <name val="Calibri"/>
      <family val="2"/>
      <scheme val="minor"/>
    </font>
    <font>
      <sz val="10"/>
      <color rgb="FFF2F1E6"/>
      <name val="Calibri"/>
      <family val="2"/>
      <scheme val="minor"/>
    </font>
    <font>
      <b/>
      <sz val="10"/>
      <color rgb="FFC00000"/>
      <name val="Candara"/>
      <family val="2"/>
    </font>
    <font>
      <b/>
      <sz val="14"/>
      <color theme="0"/>
      <name val="Calibri"/>
      <family val="2"/>
      <scheme val="minor"/>
    </font>
    <font>
      <b/>
      <sz val="12"/>
      <color rgb="FF333333"/>
      <name val="Arial"/>
      <family val="2"/>
    </font>
    <font>
      <sz val="8"/>
      <color rgb="FF333333"/>
      <name val="Calibri"/>
      <family val="2"/>
      <scheme val="minor"/>
    </font>
    <font>
      <b/>
      <i/>
      <sz val="10"/>
      <color theme="1"/>
      <name val="Calibri"/>
      <family val="2"/>
      <scheme val="minor"/>
    </font>
    <font>
      <sz val="8"/>
      <color theme="1"/>
      <name val="Calibri"/>
      <family val="2"/>
      <scheme val="minor"/>
    </font>
    <font>
      <b/>
      <i/>
      <sz val="18"/>
      <color rgb="FFC00000"/>
      <name val="Calibri"/>
      <family val="2"/>
      <scheme val="minor"/>
    </font>
    <font>
      <b/>
      <sz val="12"/>
      <color theme="0"/>
      <name val="Bahnschrift"/>
      <family val="2"/>
    </font>
    <font>
      <sz val="12"/>
      <color theme="1"/>
      <name val="Bahnschrift"/>
      <family val="2"/>
    </font>
  </fonts>
  <fills count="23">
    <fill>
      <patternFill patternType="none"/>
    </fill>
    <fill>
      <patternFill patternType="gray125"/>
    </fill>
    <fill>
      <patternFill patternType="solid">
        <fgColor theme="2" tint="-9.9978637043366805E-2"/>
        <bgColor indexed="64"/>
      </patternFill>
    </fill>
    <fill>
      <patternFill patternType="solid">
        <fgColor rgb="FFF6F5EE"/>
        <bgColor indexed="64"/>
      </patternFill>
    </fill>
    <fill>
      <patternFill patternType="solid">
        <fgColor theme="4" tint="-0.249977111117893"/>
        <bgColor indexed="64"/>
      </patternFill>
    </fill>
    <fill>
      <patternFill patternType="solid">
        <fgColor rgb="FFEEECDE"/>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FF"/>
        <bgColor indexed="64"/>
      </patternFill>
    </fill>
    <fill>
      <patternFill patternType="solid">
        <fgColor rgb="FFFEFEFE"/>
        <bgColor indexed="64"/>
      </patternFill>
    </fill>
    <fill>
      <patternFill patternType="solid">
        <fgColor rgb="FFF2F2F2"/>
        <bgColor indexed="64"/>
      </patternFill>
    </fill>
    <fill>
      <patternFill patternType="solid">
        <fgColor theme="2"/>
        <bgColor indexed="64"/>
      </patternFill>
    </fill>
    <fill>
      <patternFill patternType="solid">
        <fgColor rgb="FFC00000"/>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bgColor indexed="64"/>
      </patternFill>
    </fill>
    <fill>
      <patternFill patternType="solid">
        <fgColor rgb="FF00B0F0"/>
        <bgColor indexed="64"/>
      </patternFill>
    </fill>
    <fill>
      <patternFill patternType="solid">
        <fgColor theme="6" tint="-0.249977111117893"/>
        <bgColor indexed="64"/>
      </patternFill>
    </fill>
    <fill>
      <patternFill patternType="solid">
        <fgColor rgb="FFF2F1E6"/>
        <bgColor indexed="64"/>
      </patternFill>
    </fill>
    <fill>
      <patternFill patternType="solid">
        <fgColor theme="9"/>
        <bgColor indexed="64"/>
      </patternFill>
    </fill>
    <fill>
      <patternFill patternType="solid">
        <fgColor theme="0"/>
        <bgColor indexed="64"/>
      </patternFill>
    </fill>
  </fills>
  <borders count="59">
    <border>
      <left/>
      <right/>
      <top/>
      <bottom/>
      <diagonal/>
    </border>
    <border>
      <left style="thick">
        <color rgb="FF666699"/>
      </left>
      <right/>
      <top style="thick">
        <color rgb="FF666699"/>
      </top>
      <bottom/>
      <diagonal/>
    </border>
    <border>
      <left/>
      <right/>
      <top style="thick">
        <color rgb="FF666699"/>
      </top>
      <bottom/>
      <diagonal/>
    </border>
    <border>
      <left/>
      <right style="thick">
        <color rgb="FF666699"/>
      </right>
      <top style="thick">
        <color rgb="FF666699"/>
      </top>
      <bottom/>
      <diagonal/>
    </border>
    <border>
      <left style="thick">
        <color rgb="FF666699"/>
      </left>
      <right/>
      <top/>
      <bottom/>
      <diagonal/>
    </border>
    <border>
      <left/>
      <right style="thick">
        <color rgb="FF666699"/>
      </right>
      <top/>
      <bottom/>
      <diagonal/>
    </border>
    <border>
      <left style="thick">
        <color rgb="FF666699"/>
      </left>
      <right/>
      <top/>
      <bottom style="thick">
        <color rgb="FF666699"/>
      </bottom>
      <diagonal/>
    </border>
    <border>
      <left/>
      <right/>
      <top/>
      <bottom style="thick">
        <color rgb="FF666699"/>
      </bottom>
      <diagonal/>
    </border>
    <border>
      <left/>
      <right style="thick">
        <color rgb="FF666699"/>
      </right>
      <top/>
      <bottom style="thick">
        <color rgb="FF666699"/>
      </bottom>
      <diagonal/>
    </border>
    <border>
      <left style="medium">
        <color rgb="FF666699"/>
      </left>
      <right style="medium">
        <color rgb="FF666699"/>
      </right>
      <top style="medium">
        <color rgb="FF666699"/>
      </top>
      <bottom style="medium">
        <color rgb="FF666699"/>
      </bottom>
      <diagonal/>
    </border>
    <border>
      <left style="medium">
        <color rgb="FF666699"/>
      </left>
      <right/>
      <top style="medium">
        <color rgb="FF666699"/>
      </top>
      <bottom style="medium">
        <color rgb="FF666699"/>
      </bottom>
      <diagonal/>
    </border>
    <border>
      <left/>
      <right/>
      <top style="medium">
        <color rgb="FF666699"/>
      </top>
      <bottom style="medium">
        <color rgb="FF666699"/>
      </bottom>
      <diagonal/>
    </border>
    <border>
      <left/>
      <right style="medium">
        <color rgb="FF666699"/>
      </right>
      <top style="medium">
        <color rgb="FF666699"/>
      </top>
      <bottom style="medium">
        <color rgb="FF666699"/>
      </bottom>
      <diagonal/>
    </border>
    <border>
      <left/>
      <right/>
      <top style="medium">
        <color rgb="FF666699"/>
      </top>
      <bottom/>
      <diagonal/>
    </border>
    <border>
      <left style="medium">
        <color rgb="FF666699"/>
      </left>
      <right/>
      <top style="medium">
        <color rgb="FF666699"/>
      </top>
      <bottom/>
      <diagonal/>
    </border>
    <border>
      <left style="medium">
        <color rgb="FF666699"/>
      </left>
      <right style="medium">
        <color rgb="FF666699"/>
      </right>
      <top style="medium">
        <color rgb="FF666699"/>
      </top>
      <bottom style="thick">
        <color rgb="FF666699"/>
      </bottom>
      <diagonal/>
    </border>
    <border>
      <left style="medium">
        <color rgb="FF666699"/>
      </left>
      <right style="medium">
        <color rgb="FF666699"/>
      </right>
      <top/>
      <bottom style="medium">
        <color rgb="FF666699"/>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style="medium">
        <color rgb="FFCCCCCC"/>
      </left>
      <right style="medium">
        <color rgb="FFCCCCCC"/>
      </right>
      <top style="medium">
        <color rgb="FFCCCCCC"/>
      </top>
      <bottom style="medium">
        <color rgb="FFCCCCCC"/>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ck">
        <color indexed="64"/>
      </left>
      <right/>
      <top/>
      <bottom/>
      <diagonal/>
    </border>
    <border>
      <left style="medium">
        <color indexed="64"/>
      </left>
      <right/>
      <top style="medium">
        <color indexed="64"/>
      </top>
      <bottom/>
      <diagonal/>
    </border>
    <border>
      <left/>
      <right style="medium">
        <color rgb="FF666699"/>
      </right>
      <top style="medium">
        <color rgb="FF666699"/>
      </top>
      <bottom/>
      <diagonal/>
    </border>
    <border>
      <left style="medium">
        <color rgb="FF666699"/>
      </left>
      <right style="medium">
        <color rgb="FF666699"/>
      </right>
      <top/>
      <bottom style="thick">
        <color rgb="FF666699"/>
      </bottom>
      <diagonal/>
    </border>
    <border>
      <left/>
      <right/>
      <top style="thick">
        <color rgb="FF666699"/>
      </top>
      <bottom style="thick">
        <color rgb="FF666699"/>
      </bottom>
      <diagonal/>
    </border>
    <border>
      <left style="medium">
        <color rgb="FF666699"/>
      </left>
      <right/>
      <top style="medium">
        <color rgb="FF666699"/>
      </top>
      <bottom style="thick">
        <color rgb="FF666699"/>
      </bottom>
      <diagonal/>
    </border>
    <border>
      <left/>
      <right style="medium">
        <color rgb="FF666699"/>
      </right>
      <top style="medium">
        <color rgb="FF666699"/>
      </top>
      <bottom style="thick">
        <color rgb="FF666699"/>
      </bottom>
      <diagonal/>
    </border>
    <border>
      <left/>
      <right/>
      <top style="thick">
        <color rgb="FF666699"/>
      </top>
      <bottom style="medium">
        <color rgb="FF666699"/>
      </bottom>
      <diagonal/>
    </border>
    <border>
      <left/>
      <right style="medium">
        <color rgb="FF666699"/>
      </right>
      <top/>
      <bottom/>
      <diagonal/>
    </border>
    <border>
      <left style="medium">
        <color rgb="FF666699"/>
      </left>
      <right/>
      <top/>
      <bottom/>
      <diagonal/>
    </border>
    <border>
      <left/>
      <right style="medium">
        <color rgb="FF666699"/>
      </right>
      <top/>
      <bottom style="medium">
        <color rgb="FF666699"/>
      </bottom>
      <diagonal/>
    </border>
    <border>
      <left style="medium">
        <color rgb="FF666699"/>
      </left>
      <right/>
      <top/>
      <bottom style="medium">
        <color rgb="FF666699"/>
      </bottom>
      <diagonal/>
    </border>
    <border>
      <left style="medium">
        <color rgb="FF666699"/>
      </left>
      <right style="medium">
        <color rgb="FF666699"/>
      </right>
      <top/>
      <bottom/>
      <diagonal/>
    </border>
    <border>
      <left style="medium">
        <color indexed="64"/>
      </left>
      <right style="medium">
        <color rgb="FF666699"/>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s>
  <cellStyleXfs count="5">
    <xf numFmtId="0" fontId="0" fillId="0" borderId="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28" fillId="0" borderId="0" applyNumberFormat="0" applyFill="0" applyBorder="0" applyAlignment="0" applyProtection="0"/>
  </cellStyleXfs>
  <cellXfs count="427">
    <xf numFmtId="0" fontId="0" fillId="0" borderId="0" xfId="0"/>
    <xf numFmtId="0" fontId="3" fillId="0" borderId="0" xfId="0" applyFont="1"/>
    <xf numFmtId="0" fontId="4" fillId="0" borderId="0" xfId="0" applyFont="1"/>
    <xf numFmtId="0" fontId="2" fillId="0" borderId="0" xfId="0" applyFont="1"/>
    <xf numFmtId="0" fontId="3" fillId="0" borderId="4" xfId="0" applyFont="1" applyBorder="1" applyAlignment="1"/>
    <xf numFmtId="0" fontId="0" fillId="0" borderId="0" xfId="0" applyAlignment="1">
      <alignment wrapText="1"/>
    </xf>
    <xf numFmtId="0" fontId="0" fillId="3" borderId="1" xfId="0" applyFill="1" applyBorder="1"/>
    <xf numFmtId="0" fontId="3" fillId="3" borderId="0" xfId="0" applyFont="1" applyFill="1" applyBorder="1"/>
    <xf numFmtId="0" fontId="3" fillId="3" borderId="7" xfId="0" applyFont="1" applyFill="1" applyBorder="1"/>
    <xf numFmtId="0" fontId="3" fillId="3" borderId="5" xfId="0" applyFont="1" applyFill="1" applyBorder="1"/>
    <xf numFmtId="0" fontId="0" fillId="3" borderId="3" xfId="0" applyFill="1" applyBorder="1"/>
    <xf numFmtId="0" fontId="5" fillId="3" borderId="1" xfId="0" applyFont="1" applyFill="1" applyBorder="1"/>
    <xf numFmtId="0" fontId="7" fillId="3" borderId="2" xfId="0" applyFont="1" applyFill="1" applyBorder="1"/>
    <xf numFmtId="0" fontId="5" fillId="3" borderId="3" xfId="0" applyFont="1" applyFill="1" applyBorder="1"/>
    <xf numFmtId="0" fontId="5" fillId="3" borderId="4" xfId="0" applyFont="1" applyFill="1" applyBorder="1"/>
    <xf numFmtId="0" fontId="7" fillId="3" borderId="5" xfId="0" applyFont="1" applyFill="1" applyBorder="1"/>
    <xf numFmtId="0" fontId="7" fillId="3" borderId="7" xfId="0" applyFont="1" applyFill="1" applyBorder="1"/>
    <xf numFmtId="0" fontId="5" fillId="3" borderId="6" xfId="0" applyFont="1" applyFill="1" applyBorder="1"/>
    <xf numFmtId="0" fontId="5" fillId="3" borderId="7" xfId="0" applyFont="1" applyFill="1" applyBorder="1"/>
    <xf numFmtId="0" fontId="5" fillId="3" borderId="8" xfId="0" applyFont="1" applyFill="1" applyBorder="1"/>
    <xf numFmtId="0" fontId="0" fillId="3" borderId="5" xfId="0" applyFill="1" applyBorder="1"/>
    <xf numFmtId="0" fontId="18" fillId="3" borderId="0" xfId="0" applyFont="1" applyFill="1" applyBorder="1" applyAlignment="1">
      <alignment vertical="center"/>
    </xf>
    <xf numFmtId="0" fontId="5" fillId="3" borderId="1" xfId="0" applyFont="1" applyFill="1" applyBorder="1" applyAlignment="1">
      <alignment vertical="center"/>
    </xf>
    <xf numFmtId="0" fontId="5" fillId="3" borderId="2" xfId="0" applyFont="1" applyFill="1" applyBorder="1" applyAlignment="1">
      <alignment vertical="center"/>
    </xf>
    <xf numFmtId="0" fontId="6" fillId="3" borderId="2" xfId="0" applyFont="1" applyFill="1" applyBorder="1" applyAlignment="1">
      <alignment vertical="center"/>
    </xf>
    <xf numFmtId="0" fontId="7" fillId="3" borderId="2" xfId="0" applyFont="1" applyFill="1" applyBorder="1" applyAlignment="1">
      <alignment vertical="center"/>
    </xf>
    <xf numFmtId="0" fontId="3" fillId="3" borderId="3" xfId="0" applyFont="1" applyFill="1" applyBorder="1" applyAlignment="1">
      <alignment vertical="center"/>
    </xf>
    <xf numFmtId="0" fontId="8" fillId="3" borderId="4" xfId="0" applyFont="1" applyFill="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left" vertical="center"/>
    </xf>
    <xf numFmtId="0" fontId="5" fillId="3" borderId="0" xfId="0" applyFont="1" applyFill="1" applyBorder="1" applyAlignment="1">
      <alignment vertical="center"/>
    </xf>
    <xf numFmtId="0" fontId="0" fillId="3" borderId="5" xfId="0" applyFill="1" applyBorder="1" applyAlignment="1">
      <alignment vertical="center"/>
    </xf>
    <xf numFmtId="0" fontId="8" fillId="3" borderId="0" xfId="0" applyFont="1" applyFill="1" applyBorder="1" applyAlignment="1">
      <alignment vertical="center"/>
    </xf>
    <xf numFmtId="0" fontId="8" fillId="3" borderId="6" xfId="0" applyFont="1" applyFill="1" applyBorder="1" applyAlignment="1">
      <alignment vertical="center"/>
    </xf>
    <xf numFmtId="0" fontId="8" fillId="3" borderId="7" xfId="0" applyFont="1" applyFill="1" applyBorder="1" applyAlignment="1">
      <alignment vertical="center"/>
    </xf>
    <xf numFmtId="0" fontId="7" fillId="3" borderId="7" xfId="0" applyFont="1" applyFill="1" applyBorder="1" applyAlignment="1">
      <alignment vertical="center"/>
    </xf>
    <xf numFmtId="0" fontId="5" fillId="3" borderId="7" xfId="0" applyFont="1" applyFill="1" applyBorder="1" applyAlignment="1">
      <alignment vertical="center"/>
    </xf>
    <xf numFmtId="0" fontId="0" fillId="5" borderId="6" xfId="0" applyFill="1" applyBorder="1"/>
    <xf numFmtId="0" fontId="3" fillId="5" borderId="7" xfId="0" applyFont="1" applyFill="1" applyBorder="1"/>
    <xf numFmtId="0" fontId="3" fillId="5" borderId="8" xfId="0" applyFont="1" applyFill="1" applyBorder="1"/>
    <xf numFmtId="0" fontId="0" fillId="5" borderId="3" xfId="0" applyFill="1" applyBorder="1"/>
    <xf numFmtId="0" fontId="3" fillId="5" borderId="5" xfId="0" applyFont="1" applyFill="1" applyBorder="1"/>
    <xf numFmtId="0" fontId="0" fillId="5" borderId="1" xfId="0" applyFill="1" applyBorder="1"/>
    <xf numFmtId="0" fontId="3" fillId="5" borderId="2" xfId="0" applyFont="1" applyFill="1" applyBorder="1"/>
    <xf numFmtId="0" fontId="0" fillId="5" borderId="4" xfId="0" applyFill="1" applyBorder="1"/>
    <xf numFmtId="0" fontId="0" fillId="3" borderId="2" xfId="0" applyFill="1" applyBorder="1"/>
    <xf numFmtId="0" fontId="3" fillId="3" borderId="4" xfId="0" applyFont="1" applyFill="1" applyBorder="1" applyAlignment="1"/>
    <xf numFmtId="0" fontId="3" fillId="3" borderId="4" xfId="0" applyFont="1" applyFill="1" applyBorder="1"/>
    <xf numFmtId="0" fontId="0" fillId="3" borderId="0" xfId="0" applyFill="1" applyBorder="1"/>
    <xf numFmtId="0" fontId="3" fillId="3" borderId="6" xfId="0" applyFont="1" applyFill="1" applyBorder="1"/>
    <xf numFmtId="0" fontId="3" fillId="3" borderId="8" xfId="0" applyFont="1" applyFill="1" applyBorder="1"/>
    <xf numFmtId="0" fontId="21" fillId="3" borderId="0" xfId="0" applyFont="1" applyFill="1" applyBorder="1" applyAlignment="1">
      <alignment horizontal="left" vertical="center"/>
    </xf>
    <xf numFmtId="0" fontId="12" fillId="3" borderId="0" xfId="0" applyFont="1" applyFill="1" applyBorder="1" applyAlignment="1">
      <alignment vertical="center"/>
    </xf>
    <xf numFmtId="0" fontId="0" fillId="6" borderId="17" xfId="0" applyFill="1" applyBorder="1"/>
    <xf numFmtId="0" fontId="0" fillId="6" borderId="18" xfId="0" applyFill="1" applyBorder="1"/>
    <xf numFmtId="0" fontId="0" fillId="6" borderId="19" xfId="0" applyFill="1" applyBorder="1"/>
    <xf numFmtId="0" fontId="0" fillId="6" borderId="20" xfId="0" applyFill="1" applyBorder="1"/>
    <xf numFmtId="0" fontId="0" fillId="6" borderId="0" xfId="0" applyFill="1" applyBorder="1"/>
    <xf numFmtId="0" fontId="1" fillId="6" borderId="0" xfId="0" applyFont="1" applyFill="1" applyBorder="1"/>
    <xf numFmtId="0" fontId="0" fillId="6" borderId="21" xfId="0" applyFill="1" applyBorder="1"/>
    <xf numFmtId="0" fontId="0" fillId="6" borderId="22" xfId="0" applyFill="1" applyBorder="1"/>
    <xf numFmtId="0" fontId="0" fillId="6" borderId="23" xfId="0" applyFill="1" applyBorder="1"/>
    <xf numFmtId="0" fontId="0" fillId="6" borderId="24" xfId="0" applyFill="1" applyBorder="1"/>
    <xf numFmtId="0" fontId="0" fillId="7" borderId="0" xfId="0" applyFill="1" applyBorder="1"/>
    <xf numFmtId="0" fontId="1" fillId="7" borderId="0" xfId="0" applyFont="1" applyFill="1" applyBorder="1" applyAlignment="1">
      <alignment horizontal="right"/>
    </xf>
    <xf numFmtId="0" fontId="1" fillId="7" borderId="0" xfId="0" applyFont="1" applyFill="1" applyBorder="1"/>
    <xf numFmtId="4" fontId="0" fillId="7" borderId="0" xfId="0" applyNumberFormat="1" applyFill="1" applyBorder="1"/>
    <xf numFmtId="3" fontId="0" fillId="7" borderId="0" xfId="0" applyNumberFormat="1" applyFill="1" applyBorder="1"/>
    <xf numFmtId="0" fontId="9" fillId="4" borderId="0" xfId="0" applyFont="1" applyFill="1" applyBorder="1" applyAlignment="1">
      <alignment horizontal="center" vertical="center" wrapText="1"/>
    </xf>
    <xf numFmtId="10" fontId="26" fillId="0" borderId="0" xfId="1" applyNumberFormat="1" applyFont="1"/>
    <xf numFmtId="0" fontId="0" fillId="0" borderId="0" xfId="0" applyFont="1"/>
    <xf numFmtId="0" fontId="30" fillId="0" borderId="0" xfId="0" applyFont="1"/>
    <xf numFmtId="0" fontId="29" fillId="0" borderId="0" xfId="0" applyFont="1" applyAlignment="1">
      <alignment horizontal="left" vertical="center" wrapText="1"/>
    </xf>
    <xf numFmtId="0" fontId="29" fillId="0" borderId="0" xfId="0" applyFont="1" applyAlignment="1">
      <alignment horizontal="center" vertical="center" wrapText="1"/>
    </xf>
    <xf numFmtId="0" fontId="30" fillId="0" borderId="0" xfId="0" applyFont="1" applyAlignment="1">
      <alignment horizontal="left" vertical="center" wrapText="1"/>
    </xf>
    <xf numFmtId="0" fontId="30" fillId="9" borderId="0" xfId="0" applyFont="1" applyFill="1" applyAlignment="1">
      <alignment horizontal="left" vertical="center" wrapText="1"/>
    </xf>
    <xf numFmtId="0" fontId="32" fillId="0" borderId="0" xfId="0" applyFont="1" applyAlignment="1">
      <alignment horizontal="left" vertical="center" wrapText="1"/>
    </xf>
    <xf numFmtId="0" fontId="33" fillId="0" borderId="0" xfId="0" applyFont="1" applyAlignment="1">
      <alignment horizontal="left" vertical="center" wrapText="1"/>
    </xf>
    <xf numFmtId="0" fontId="34" fillId="0" borderId="0" xfId="4" applyFont="1" applyAlignment="1">
      <alignment horizontal="left" vertical="center" wrapText="1"/>
    </xf>
    <xf numFmtId="43" fontId="30" fillId="0" borderId="0" xfId="2" applyFont="1"/>
    <xf numFmtId="0" fontId="35" fillId="0" borderId="0" xfId="0" applyFont="1" applyAlignment="1">
      <alignment horizontal="left" vertical="center"/>
    </xf>
    <xf numFmtId="0" fontId="36" fillId="0" borderId="0" xfId="0" applyFont="1" applyAlignment="1">
      <alignment vertical="center" wrapText="1"/>
    </xf>
    <xf numFmtId="0" fontId="38" fillId="10" borderId="25" xfId="0" applyFont="1" applyFill="1" applyBorder="1" applyAlignment="1">
      <alignment horizontal="left" vertical="center" wrapText="1"/>
    </xf>
    <xf numFmtId="0" fontId="39" fillId="11" borderId="25" xfId="0" applyFont="1" applyFill="1" applyBorder="1" applyAlignment="1">
      <alignment vertical="center" wrapText="1"/>
    </xf>
    <xf numFmtId="0" fontId="39" fillId="10" borderId="25" xfId="0" applyFont="1" applyFill="1" applyBorder="1" applyAlignment="1">
      <alignment vertical="center" wrapText="1"/>
    </xf>
    <xf numFmtId="0" fontId="0" fillId="0" borderId="0" xfId="0" applyFont="1" applyAlignment="1">
      <alignment horizontal="left"/>
    </xf>
    <xf numFmtId="9" fontId="0" fillId="0" borderId="0" xfId="0" applyNumberFormat="1" applyFont="1" applyAlignment="1">
      <alignment horizontal="left"/>
    </xf>
    <xf numFmtId="164" fontId="0" fillId="0" borderId="0" xfId="2" applyNumberFormat="1" applyFont="1"/>
    <xf numFmtId="165" fontId="0" fillId="0" borderId="0" xfId="2" applyNumberFormat="1" applyFont="1"/>
    <xf numFmtId="165" fontId="0" fillId="0" borderId="0" xfId="0" applyNumberFormat="1" applyFont="1"/>
    <xf numFmtId="166" fontId="0" fillId="0" borderId="0" xfId="3" applyNumberFormat="1" applyFont="1"/>
    <xf numFmtId="9" fontId="0" fillId="0" borderId="0" xfId="1" applyFont="1"/>
    <xf numFmtId="9" fontId="0" fillId="0" borderId="0" xfId="1" applyNumberFormat="1" applyFont="1" applyAlignment="1">
      <alignment horizontal="left"/>
    </xf>
    <xf numFmtId="165" fontId="0" fillId="0" borderId="0" xfId="1" applyNumberFormat="1" applyFont="1" applyAlignment="1">
      <alignment horizontal="right"/>
    </xf>
    <xf numFmtId="0" fontId="0" fillId="0" borderId="0" xfId="0" applyAlignment="1">
      <alignment horizontal="left"/>
    </xf>
    <xf numFmtId="0" fontId="5" fillId="3" borderId="1" xfId="0" applyFont="1" applyFill="1" applyBorder="1" applyAlignment="1">
      <alignment horizontal="left" vertical="center"/>
    </xf>
    <xf numFmtId="0" fontId="8" fillId="3" borderId="4" xfId="0" applyFont="1" applyFill="1" applyBorder="1" applyAlignment="1">
      <alignment horizontal="left" vertical="center"/>
    </xf>
    <xf numFmtId="0" fontId="8" fillId="3" borderId="6" xfId="0" applyFont="1" applyFill="1" applyBorder="1" applyAlignment="1">
      <alignment horizontal="left" vertical="center"/>
    </xf>
    <xf numFmtId="0" fontId="4" fillId="0" borderId="0" xfId="0" applyFont="1" applyAlignment="1">
      <alignment horizontal="left"/>
    </xf>
    <xf numFmtId="0" fontId="0" fillId="5" borderId="1" xfId="0" applyFill="1" applyBorder="1" applyAlignment="1">
      <alignment horizontal="left"/>
    </xf>
    <xf numFmtId="165" fontId="0" fillId="0" borderId="0" xfId="0" applyNumberFormat="1"/>
    <xf numFmtId="0" fontId="0" fillId="0" borderId="0" xfId="0" applyFill="1"/>
    <xf numFmtId="0" fontId="0" fillId="0" borderId="0" xfId="2" applyNumberFormat="1" applyFont="1" applyAlignment="1">
      <alignment horizontal="left"/>
    </xf>
    <xf numFmtId="0" fontId="46" fillId="0" borderId="0" xfId="0" applyFont="1" applyAlignment="1">
      <alignment horizontal="left"/>
    </xf>
    <xf numFmtId="43" fontId="30" fillId="0" borderId="0" xfId="2" applyFont="1" applyBorder="1" applyAlignment="1">
      <alignment vertical="top" wrapText="1"/>
    </xf>
    <xf numFmtId="43" fontId="30" fillId="0" borderId="26" xfId="0" applyNumberFormat="1" applyFont="1" applyBorder="1"/>
    <xf numFmtId="0" fontId="30" fillId="0" borderId="26" xfId="0" applyFont="1" applyBorder="1"/>
    <xf numFmtId="43" fontId="31" fillId="0" borderId="0" xfId="2" applyFont="1" applyBorder="1" applyAlignment="1">
      <alignment vertical="top" wrapText="1"/>
    </xf>
    <xf numFmtId="0" fontId="30" fillId="0" borderId="0" xfId="0" applyFont="1" applyBorder="1"/>
    <xf numFmtId="0" fontId="30" fillId="0" borderId="29" xfId="0" applyFont="1" applyBorder="1"/>
    <xf numFmtId="0" fontId="30" fillId="0" borderId="30" xfId="0" applyFont="1" applyBorder="1"/>
    <xf numFmtId="43" fontId="30" fillId="0" borderId="29" xfId="0" applyNumberFormat="1" applyFont="1" applyBorder="1"/>
    <xf numFmtId="43" fontId="30" fillId="0" borderId="30" xfId="0" applyNumberFormat="1" applyFont="1" applyBorder="1"/>
    <xf numFmtId="0" fontId="45" fillId="0" borderId="0" xfId="0" applyFont="1"/>
    <xf numFmtId="0" fontId="28" fillId="0" borderId="0" xfId="4" applyAlignment="1">
      <alignment vertical="center" wrapText="1"/>
    </xf>
    <xf numFmtId="0" fontId="36" fillId="8" borderId="0" xfId="0" applyFont="1" applyFill="1" applyAlignment="1">
      <alignment vertical="center" wrapText="1"/>
    </xf>
    <xf numFmtId="0" fontId="48" fillId="0" borderId="0" xfId="0" applyFont="1" applyAlignment="1">
      <alignment vertical="center" wrapText="1"/>
    </xf>
    <xf numFmtId="0" fontId="27" fillId="14" borderId="33" xfId="0" applyFont="1" applyFill="1" applyBorder="1" applyAlignment="1">
      <alignment horizontal="left" vertical="top" wrapText="1"/>
    </xf>
    <xf numFmtId="0" fontId="27" fillId="14" borderId="34" xfId="0" applyFont="1" applyFill="1" applyBorder="1" applyAlignment="1">
      <alignment vertical="top" wrapText="1"/>
    </xf>
    <xf numFmtId="9" fontId="0" fillId="16" borderId="35" xfId="0" applyNumberFormat="1" applyFont="1" applyFill="1" applyBorder="1" applyAlignment="1">
      <alignment horizontal="left"/>
    </xf>
    <xf numFmtId="165" fontId="0" fillId="16" borderId="36" xfId="0" applyNumberFormat="1" applyFont="1" applyFill="1" applyBorder="1"/>
    <xf numFmtId="9" fontId="0" fillId="15" borderId="35" xfId="0" applyNumberFormat="1" applyFont="1" applyFill="1" applyBorder="1" applyAlignment="1">
      <alignment horizontal="left"/>
    </xf>
    <xf numFmtId="165" fontId="0" fillId="15" borderId="36" xfId="0" applyNumberFormat="1" applyFont="1" applyFill="1" applyBorder="1"/>
    <xf numFmtId="9" fontId="0" fillId="16" borderId="37" xfId="0" applyNumberFormat="1" applyFont="1" applyFill="1" applyBorder="1" applyAlignment="1">
      <alignment horizontal="left"/>
    </xf>
    <xf numFmtId="165" fontId="0" fillId="16" borderId="38" xfId="0" applyNumberFormat="1" applyFont="1" applyFill="1" applyBorder="1"/>
    <xf numFmtId="165" fontId="42" fillId="0" borderId="0" xfId="2" applyNumberFormat="1" applyFont="1"/>
    <xf numFmtId="0" fontId="42" fillId="0" borderId="0" xfId="0" applyFont="1"/>
    <xf numFmtId="0" fontId="0" fillId="0" borderId="0" xfId="0" applyBorder="1"/>
    <xf numFmtId="0" fontId="50" fillId="3" borderId="2" xfId="0" applyFont="1" applyFill="1" applyBorder="1"/>
    <xf numFmtId="9" fontId="51" fillId="3" borderId="2" xfId="1" applyFont="1" applyFill="1" applyBorder="1"/>
    <xf numFmtId="9" fontId="52" fillId="3" borderId="2" xfId="1" applyFont="1" applyFill="1" applyBorder="1"/>
    <xf numFmtId="0" fontId="0" fillId="5" borderId="4" xfId="0" applyFill="1" applyBorder="1" applyAlignment="1">
      <alignment horizontal="center"/>
    </xf>
    <xf numFmtId="0" fontId="0" fillId="5" borderId="6" xfId="0" applyFill="1" applyBorder="1" applyAlignment="1">
      <alignment horizontal="center"/>
    </xf>
    <xf numFmtId="0" fontId="19" fillId="4" borderId="11" xfId="0" applyFont="1" applyFill="1" applyBorder="1" applyAlignment="1">
      <alignment horizontal="center" vertical="center" wrapText="1"/>
    </xf>
    <xf numFmtId="167" fontId="41" fillId="0" borderId="0" xfId="1" applyNumberFormat="1" applyFont="1" applyFill="1" applyAlignment="1">
      <alignment horizontal="left"/>
    </xf>
    <xf numFmtId="0" fontId="1" fillId="0" borderId="0" xfId="2" applyNumberFormat="1" applyFont="1" applyAlignment="1">
      <alignment horizontal="left"/>
    </xf>
    <xf numFmtId="165" fontId="0" fillId="5" borderId="0" xfId="0" applyNumberFormat="1" applyFill="1" applyBorder="1" applyAlignment="1">
      <alignment horizontal="center"/>
    </xf>
    <xf numFmtId="0" fontId="0" fillId="5" borderId="31" xfId="0" applyFill="1" applyBorder="1" applyAlignment="1">
      <alignment horizontal="center"/>
    </xf>
    <xf numFmtId="0" fontId="0" fillId="5" borderId="29" xfId="0" applyFill="1" applyBorder="1" applyAlignment="1">
      <alignment horizontal="center"/>
    </xf>
    <xf numFmtId="165" fontId="44" fillId="0" borderId="31" xfId="0" applyNumberFormat="1" applyFont="1" applyBorder="1"/>
    <xf numFmtId="165" fontId="3" fillId="0" borderId="29" xfId="0" applyNumberFormat="1" applyFont="1" applyBorder="1"/>
    <xf numFmtId="165" fontId="3" fillId="0" borderId="31" xfId="0" applyNumberFormat="1" applyFont="1" applyBorder="1"/>
    <xf numFmtId="165" fontId="3" fillId="8" borderId="31" xfId="0" applyNumberFormat="1" applyFont="1" applyFill="1" applyBorder="1"/>
    <xf numFmtId="165" fontId="3" fillId="8" borderId="29" xfId="0" applyNumberFormat="1" applyFont="1" applyFill="1" applyBorder="1"/>
    <xf numFmtId="165" fontId="3" fillId="5" borderId="31" xfId="0" applyNumberFormat="1" applyFont="1" applyFill="1" applyBorder="1"/>
    <xf numFmtId="165" fontId="3" fillId="5" borderId="29" xfId="0" applyNumberFormat="1" applyFont="1" applyFill="1" applyBorder="1"/>
    <xf numFmtId="165" fontId="44" fillId="12" borderId="31" xfId="0" applyNumberFormat="1" applyFont="1" applyFill="1" applyBorder="1"/>
    <xf numFmtId="165" fontId="3" fillId="12" borderId="29" xfId="0" applyNumberFormat="1" applyFont="1" applyFill="1" applyBorder="1"/>
    <xf numFmtId="165" fontId="44" fillId="5" borderId="31" xfId="0" applyNumberFormat="1" applyFont="1" applyFill="1" applyBorder="1"/>
    <xf numFmtId="0" fontId="0" fillId="0" borderId="0" xfId="0" applyFont="1" applyAlignment="1">
      <alignment horizontal="center" vertical="center" wrapText="1"/>
    </xf>
    <xf numFmtId="0" fontId="0" fillId="0" borderId="0" xfId="0" applyFont="1" applyFill="1" applyBorder="1" applyAlignment="1">
      <alignment horizontal="center" vertical="center" wrapText="1"/>
    </xf>
    <xf numFmtId="9" fontId="0" fillId="0" borderId="0" xfId="1" applyFont="1" applyAlignment="1">
      <alignment horizontal="center"/>
    </xf>
    <xf numFmtId="9" fontId="0" fillId="0" borderId="0" xfId="0" applyNumberFormat="1" applyFont="1" applyAlignment="1">
      <alignment horizontal="center"/>
    </xf>
    <xf numFmtId="43" fontId="30" fillId="0" borderId="26" xfId="2" applyFont="1" applyBorder="1" applyAlignment="1">
      <alignment vertical="top" wrapText="1"/>
    </xf>
    <xf numFmtId="43" fontId="31" fillId="0" borderId="27" xfId="2" applyFont="1" applyBorder="1" applyAlignment="1">
      <alignment vertical="top" wrapText="1"/>
    </xf>
    <xf numFmtId="0" fontId="53" fillId="17" borderId="40" xfId="0" applyFont="1" applyFill="1" applyBorder="1" applyAlignment="1">
      <alignment horizontal="center" vertical="center" wrapText="1"/>
    </xf>
    <xf numFmtId="43" fontId="53" fillId="17" borderId="27" xfId="2" applyFont="1" applyFill="1" applyBorder="1" applyAlignment="1">
      <alignment horizontal="center" vertical="center" wrapText="1"/>
    </xf>
    <xf numFmtId="0" fontId="53" fillId="17" borderId="27" xfId="0" applyFont="1" applyFill="1" applyBorder="1" applyAlignment="1">
      <alignment horizontal="center" vertical="center" wrapText="1"/>
    </xf>
    <xf numFmtId="0" fontId="53" fillId="17" borderId="28" xfId="0" applyFont="1" applyFill="1" applyBorder="1" applyAlignment="1">
      <alignment horizontal="center" vertical="center" wrapText="1"/>
    </xf>
    <xf numFmtId="0" fontId="30" fillId="0" borderId="31" xfId="0" applyFont="1" applyBorder="1" applyAlignment="1">
      <alignment horizontal="center" vertical="top" wrapText="1"/>
    </xf>
    <xf numFmtId="0" fontId="30" fillId="0" borderId="32" xfId="0" applyFont="1" applyBorder="1" applyAlignment="1">
      <alignment horizontal="center" vertical="top" wrapText="1"/>
    </xf>
    <xf numFmtId="0" fontId="30" fillId="0" borderId="40" xfId="0" applyFont="1" applyBorder="1" applyAlignment="1">
      <alignment horizontal="center" vertical="top" wrapText="1"/>
    </xf>
    <xf numFmtId="0" fontId="54" fillId="3" borderId="2" xfId="0" applyFont="1" applyFill="1" applyBorder="1" applyAlignment="1">
      <alignment horizontal="center"/>
    </xf>
    <xf numFmtId="0" fontId="9" fillId="0" borderId="0" xfId="0" applyFont="1" applyFill="1" applyBorder="1" applyAlignment="1">
      <alignment horizontal="center" vertical="center" wrapText="1"/>
    </xf>
    <xf numFmtId="9" fontId="56" fillId="3" borderId="2" xfId="1" applyFont="1" applyFill="1" applyBorder="1"/>
    <xf numFmtId="0" fontId="0" fillId="5" borderId="0" xfId="0" applyFill="1" applyBorder="1" applyAlignment="1">
      <alignment horizontal="center"/>
    </xf>
    <xf numFmtId="165" fontId="3" fillId="0" borderId="0" xfId="0" applyNumberFormat="1" applyFont="1" applyBorder="1"/>
    <xf numFmtId="9" fontId="0" fillId="0" borderId="0" xfId="0" applyNumberFormat="1"/>
    <xf numFmtId="165" fontId="3" fillId="5" borderId="0" xfId="0" applyNumberFormat="1" applyFont="1" applyFill="1" applyBorder="1"/>
    <xf numFmtId="165" fontId="3" fillId="12" borderId="0" xfId="0" applyNumberFormat="1" applyFont="1" applyFill="1" applyBorder="1"/>
    <xf numFmtId="165" fontId="3" fillId="0" borderId="31" xfId="0" applyNumberFormat="1" applyFont="1" applyFill="1" applyBorder="1"/>
    <xf numFmtId="165" fontId="3" fillId="0" borderId="29" xfId="0" applyNumberFormat="1" applyFont="1" applyFill="1" applyBorder="1"/>
    <xf numFmtId="165" fontId="3" fillId="0" borderId="0" xfId="0" applyNumberFormat="1" applyFont="1" applyFill="1" applyBorder="1"/>
    <xf numFmtId="0" fontId="61" fillId="19" borderId="0" xfId="0" applyFont="1" applyFill="1" applyAlignment="1">
      <alignment vertical="center" wrapText="1"/>
    </xf>
    <xf numFmtId="0" fontId="43" fillId="0" borderId="0" xfId="0" applyFont="1"/>
    <xf numFmtId="165" fontId="63" fillId="0" borderId="0" xfId="0" applyNumberFormat="1" applyFont="1"/>
    <xf numFmtId="0" fontId="1" fillId="7" borderId="0" xfId="0" applyFont="1" applyFill="1" applyBorder="1" applyAlignment="1">
      <alignment horizontal="center"/>
    </xf>
    <xf numFmtId="3" fontId="3" fillId="5" borderId="7" xfId="0" applyNumberFormat="1" applyFont="1" applyFill="1" applyBorder="1"/>
    <xf numFmtId="3" fontId="73" fillId="5" borderId="7" xfId="0" applyNumberFormat="1" applyFont="1" applyFill="1" applyBorder="1"/>
    <xf numFmtId="0" fontId="75" fillId="3" borderId="2" xfId="0" applyFont="1" applyFill="1" applyBorder="1" applyAlignment="1">
      <alignment horizontal="center"/>
    </xf>
    <xf numFmtId="168" fontId="0" fillId="6" borderId="18" xfId="2" applyNumberFormat="1" applyFont="1" applyFill="1" applyBorder="1"/>
    <xf numFmtId="168" fontId="1" fillId="7" borderId="0" xfId="2" applyNumberFormat="1" applyFont="1" applyFill="1" applyBorder="1"/>
    <xf numFmtId="168" fontId="0" fillId="7" borderId="0" xfId="2" applyNumberFormat="1" applyFont="1" applyFill="1" applyBorder="1"/>
    <xf numFmtId="168" fontId="0" fillId="6" borderId="23" xfId="2" applyNumberFormat="1" applyFont="1" applyFill="1" applyBorder="1"/>
    <xf numFmtId="168" fontId="0" fillId="0" borderId="0" xfId="2" applyNumberFormat="1" applyFont="1"/>
    <xf numFmtId="168" fontId="1" fillId="7" borderId="0" xfId="2" applyNumberFormat="1" applyFont="1" applyFill="1" applyBorder="1" applyAlignment="1">
      <alignment horizontal="center"/>
    </xf>
    <xf numFmtId="3" fontId="0" fillId="6" borderId="0" xfId="0" applyNumberFormat="1" applyFill="1" applyBorder="1"/>
    <xf numFmtId="165" fontId="3" fillId="0" borderId="26" xfId="0" applyNumberFormat="1" applyFont="1" applyBorder="1"/>
    <xf numFmtId="165" fontId="3" fillId="0" borderId="30" xfId="0" applyNumberFormat="1" applyFont="1" applyBorder="1"/>
    <xf numFmtId="165" fontId="3" fillId="0" borderId="0" xfId="0" applyNumberFormat="1" applyFont="1" applyBorder="1" applyAlignment="1">
      <alignment horizontal="right"/>
    </xf>
    <xf numFmtId="0" fontId="3" fillId="0" borderId="0" xfId="0" applyFont="1" applyBorder="1"/>
    <xf numFmtId="165" fontId="3" fillId="5" borderId="0" xfId="0" applyNumberFormat="1" applyFont="1" applyFill="1" applyBorder="1" applyAlignment="1">
      <alignment horizontal="right"/>
    </xf>
    <xf numFmtId="165" fontId="44" fillId="0" borderId="0" xfId="0" applyNumberFormat="1" applyFont="1" applyBorder="1" applyAlignment="1">
      <alignment horizontal="right"/>
    </xf>
    <xf numFmtId="165" fontId="44" fillId="12" borderId="0" xfId="0" applyNumberFormat="1" applyFont="1" applyFill="1" applyBorder="1" applyAlignment="1">
      <alignment horizontal="right"/>
    </xf>
    <xf numFmtId="165" fontId="77" fillId="0" borderId="0" xfId="0" applyNumberFormat="1" applyFont="1" applyBorder="1" applyAlignment="1">
      <alignment horizontal="right"/>
    </xf>
    <xf numFmtId="165" fontId="3" fillId="0" borderId="0" xfId="0" applyNumberFormat="1" applyFont="1" applyFill="1" applyBorder="1" applyAlignment="1">
      <alignment horizontal="right"/>
    </xf>
    <xf numFmtId="0" fontId="3" fillId="0" borderId="0" xfId="0" applyFont="1" applyFill="1" applyBorder="1"/>
    <xf numFmtId="165" fontId="77" fillId="0" borderId="0" xfId="0" applyNumberFormat="1" applyFont="1" applyFill="1" applyBorder="1" applyAlignment="1">
      <alignment horizontal="right"/>
    </xf>
    <xf numFmtId="165" fontId="3" fillId="0" borderId="32" xfId="0" applyNumberFormat="1" applyFont="1" applyBorder="1"/>
    <xf numFmtId="165" fontId="3" fillId="0" borderId="26" xfId="0" applyNumberFormat="1" applyFont="1" applyBorder="1" applyAlignment="1">
      <alignment horizontal="right"/>
    </xf>
    <xf numFmtId="165" fontId="77" fillId="0" borderId="26" xfId="0" applyNumberFormat="1" applyFont="1" applyBorder="1" applyAlignment="1">
      <alignment horizontal="right"/>
    </xf>
    <xf numFmtId="0" fontId="78" fillId="4" borderId="10" xfId="0" applyFont="1" applyFill="1" applyBorder="1" applyAlignment="1">
      <alignment horizontal="center" vertical="center" wrapText="1"/>
    </xf>
    <xf numFmtId="0" fontId="78" fillId="4" borderId="11" xfId="0" applyFont="1" applyFill="1" applyBorder="1" applyAlignment="1">
      <alignment horizontal="center" vertical="center" wrapText="1"/>
    </xf>
    <xf numFmtId="0" fontId="78" fillId="18" borderId="0" xfId="0" applyFont="1" applyFill="1" applyBorder="1" applyAlignment="1">
      <alignment horizontal="center" vertical="center" wrapText="1"/>
    </xf>
    <xf numFmtId="0" fontId="50" fillId="0" borderId="0" xfId="0" applyFont="1"/>
    <xf numFmtId="0" fontId="50" fillId="0" borderId="0" xfId="0" applyFont="1" applyBorder="1"/>
    <xf numFmtId="0" fontId="78" fillId="4" borderId="31" xfId="0" applyFont="1" applyFill="1" applyBorder="1" applyAlignment="1">
      <alignment horizontal="center" vertical="center" wrapText="1"/>
    </xf>
    <xf numFmtId="0" fontId="78" fillId="4" borderId="0" xfId="0" applyFont="1" applyFill="1" applyBorder="1" applyAlignment="1">
      <alignment horizontal="center" vertical="center" wrapText="1"/>
    </xf>
    <xf numFmtId="164" fontId="3" fillId="0" borderId="0" xfId="2" applyNumberFormat="1" applyFont="1"/>
    <xf numFmtId="0" fontId="3" fillId="0" borderId="0" xfId="2" applyNumberFormat="1" applyFont="1" applyAlignment="1">
      <alignment horizontal="left"/>
    </xf>
    <xf numFmtId="0" fontId="4" fillId="0" borderId="0" xfId="2" applyNumberFormat="1" applyFont="1" applyAlignment="1">
      <alignment horizontal="center"/>
    </xf>
    <xf numFmtId="0" fontId="3" fillId="0" borderId="0" xfId="0" applyFont="1" applyAlignment="1">
      <alignment horizontal="left"/>
    </xf>
    <xf numFmtId="0" fontId="80" fillId="0" borderId="0" xfId="2" applyNumberFormat="1" applyFont="1" applyAlignment="1">
      <alignment horizontal="left"/>
    </xf>
    <xf numFmtId="0" fontId="3" fillId="8" borderId="0" xfId="0" applyFont="1" applyFill="1" applyAlignment="1">
      <alignment horizontal="left"/>
    </xf>
    <xf numFmtId="0" fontId="3" fillId="8" borderId="0" xfId="2" applyNumberFormat="1" applyFont="1" applyFill="1" applyAlignment="1">
      <alignment horizontal="left"/>
    </xf>
    <xf numFmtId="165" fontId="81" fillId="18" borderId="0" xfId="0" applyNumberFormat="1" applyFont="1" applyFill="1" applyBorder="1"/>
    <xf numFmtId="165" fontId="81" fillId="18" borderId="26" xfId="0" applyNumberFormat="1" applyFont="1" applyFill="1" applyBorder="1"/>
    <xf numFmtId="9" fontId="83" fillId="3" borderId="0" xfId="0" applyNumberFormat="1" applyFont="1" applyFill="1" applyBorder="1"/>
    <xf numFmtId="0" fontId="83" fillId="3" borderId="0" xfId="0" applyFont="1" applyFill="1" applyBorder="1"/>
    <xf numFmtId="0" fontId="43" fillId="0" borderId="0" xfId="0" applyFont="1" applyAlignment="1">
      <alignment horizontal="right"/>
    </xf>
    <xf numFmtId="165" fontId="3" fillId="8" borderId="0" xfId="0" applyNumberFormat="1" applyFont="1" applyFill="1" applyBorder="1" applyAlignment="1">
      <alignment horizontal="right"/>
    </xf>
    <xf numFmtId="0" fontId="3" fillId="0" borderId="0" xfId="2" applyNumberFormat="1" applyFont="1" applyFill="1" applyAlignment="1">
      <alignment horizontal="left"/>
    </xf>
    <xf numFmtId="0" fontId="43" fillId="0" borderId="0" xfId="0" applyFont="1" applyFill="1"/>
    <xf numFmtId="0" fontId="87" fillId="0" borderId="0" xfId="0" applyFont="1"/>
    <xf numFmtId="0" fontId="77" fillId="8" borderId="0" xfId="0" applyFont="1" applyFill="1" applyAlignment="1">
      <alignment horizontal="left"/>
    </xf>
    <xf numFmtId="165" fontId="3" fillId="0" borderId="0" xfId="0" applyNumberFormat="1" applyFont="1"/>
    <xf numFmtId="0" fontId="4" fillId="0" borderId="0" xfId="2" applyNumberFormat="1" applyFont="1" applyAlignment="1">
      <alignment horizontal="left"/>
    </xf>
    <xf numFmtId="167" fontId="88" fillId="0" borderId="0" xfId="1" applyNumberFormat="1" applyFont="1" applyFill="1" applyAlignment="1">
      <alignment horizontal="left"/>
    </xf>
    <xf numFmtId="165" fontId="9" fillId="13" borderId="0" xfId="0" applyNumberFormat="1" applyFont="1" applyFill="1" applyBorder="1" applyAlignment="1">
      <alignment horizontal="center" wrapText="1"/>
    </xf>
    <xf numFmtId="0" fontId="3" fillId="5" borderId="31" xfId="0" applyFont="1" applyFill="1" applyBorder="1" applyAlignment="1">
      <alignment horizontal="center"/>
    </xf>
    <xf numFmtId="165" fontId="3" fillId="5" borderId="0" xfId="0" applyNumberFormat="1" applyFont="1" applyFill="1" applyBorder="1" applyAlignment="1">
      <alignment horizontal="center"/>
    </xf>
    <xf numFmtId="0" fontId="3" fillId="5" borderId="29" xfId="0" applyFont="1" applyFill="1" applyBorder="1" applyAlignment="1">
      <alignment horizontal="center"/>
    </xf>
    <xf numFmtId="0" fontId="3" fillId="8" borderId="0" xfId="0" applyFont="1" applyFill="1"/>
    <xf numFmtId="165" fontId="77" fillId="8" borderId="0" xfId="0" applyNumberFormat="1" applyFont="1" applyFill="1" applyBorder="1" applyAlignment="1">
      <alignment horizontal="right"/>
    </xf>
    <xf numFmtId="0" fontId="3" fillId="0" borderId="0" xfId="0" applyFont="1" applyFill="1"/>
    <xf numFmtId="164" fontId="3" fillId="0" borderId="0" xfId="2" applyNumberFormat="1" applyFont="1" applyFill="1"/>
    <xf numFmtId="0" fontId="4" fillId="0" borderId="0" xfId="2" applyNumberFormat="1" applyFont="1" applyFill="1" applyAlignment="1">
      <alignment horizontal="left"/>
    </xf>
    <xf numFmtId="0" fontId="88" fillId="0" borderId="0" xfId="1" applyNumberFormat="1" applyFont="1" applyFill="1" applyAlignment="1">
      <alignment horizontal="left"/>
    </xf>
    <xf numFmtId="165" fontId="3" fillId="0" borderId="0" xfId="0" applyNumberFormat="1" applyFont="1" applyFill="1"/>
    <xf numFmtId="0" fontId="4" fillId="0" borderId="0" xfId="2" applyNumberFormat="1" applyFont="1" applyAlignment="1">
      <alignment horizontal="right"/>
    </xf>
    <xf numFmtId="0" fontId="4" fillId="0" borderId="0" xfId="0" applyFont="1" applyFill="1" applyAlignment="1">
      <alignment horizontal="left"/>
    </xf>
    <xf numFmtId="0" fontId="19" fillId="4" borderId="10" xfId="0" applyFont="1" applyFill="1" applyBorder="1" applyAlignment="1">
      <alignment horizontal="left" vertical="center" wrapText="1"/>
    </xf>
    <xf numFmtId="165" fontId="82" fillId="0" borderId="0" xfId="0" applyNumberFormat="1" applyFont="1" applyBorder="1" applyAlignment="1">
      <alignment horizontal="right"/>
    </xf>
    <xf numFmtId="165" fontId="89" fillId="20" borderId="0" xfId="0" applyNumberFormat="1" applyFont="1" applyFill="1" applyBorder="1" applyAlignment="1">
      <alignment horizontal="center"/>
    </xf>
    <xf numFmtId="165" fontId="89" fillId="20" borderId="0" xfId="0" applyNumberFormat="1" applyFont="1" applyFill="1" applyBorder="1" applyAlignment="1">
      <alignment horizontal="right"/>
    </xf>
    <xf numFmtId="165" fontId="89" fillId="20" borderId="29" xfId="0" applyNumberFormat="1" applyFont="1" applyFill="1" applyBorder="1"/>
    <xf numFmtId="0" fontId="1" fillId="0" borderId="0" xfId="0" applyFont="1" applyAlignment="1">
      <alignment horizontal="left"/>
    </xf>
    <xf numFmtId="165" fontId="89" fillId="20" borderId="0" xfId="0" applyNumberFormat="1" applyFont="1" applyFill="1" applyBorder="1"/>
    <xf numFmtId="168" fontId="1" fillId="7" borderId="0" xfId="2" applyNumberFormat="1" applyFont="1" applyFill="1" applyBorder="1" applyAlignment="1">
      <alignment horizontal="right"/>
    </xf>
    <xf numFmtId="0" fontId="86" fillId="3" borderId="0" xfId="0" applyFont="1" applyFill="1" applyBorder="1"/>
    <xf numFmtId="9" fontId="0" fillId="6" borderId="0" xfId="1" applyFont="1" applyFill="1" applyBorder="1"/>
    <xf numFmtId="0" fontId="19" fillId="4" borderId="52" xfId="0" applyFont="1" applyFill="1" applyBorder="1" applyAlignment="1">
      <alignment horizontal="center" vertical="center" wrapText="1"/>
    </xf>
    <xf numFmtId="0" fontId="19" fillId="4" borderId="29" xfId="0" applyFont="1" applyFill="1" applyBorder="1" applyAlignment="1">
      <alignment horizontal="center" vertical="center" wrapText="1"/>
    </xf>
    <xf numFmtId="9" fontId="0" fillId="0" borderId="0" xfId="1" applyNumberFormat="1" applyFont="1"/>
    <xf numFmtId="0" fontId="49" fillId="0" borderId="0" xfId="0" applyFont="1" applyAlignment="1">
      <alignment vertical="center" wrapText="1"/>
    </xf>
    <xf numFmtId="0" fontId="27" fillId="14" borderId="0" xfId="0" applyFont="1" applyFill="1" applyBorder="1" applyAlignment="1">
      <alignment horizontal="left" vertical="top" wrapText="1"/>
    </xf>
    <xf numFmtId="0" fontId="27" fillId="14" borderId="0" xfId="0" applyFont="1" applyFill="1" applyBorder="1" applyAlignment="1">
      <alignment vertical="top" wrapText="1"/>
    </xf>
    <xf numFmtId="9" fontId="0" fillId="16" borderId="0" xfId="0" applyNumberFormat="1" applyFont="1" applyFill="1" applyBorder="1" applyAlignment="1">
      <alignment horizontal="left"/>
    </xf>
    <xf numFmtId="165" fontId="0" fillId="16" borderId="0" xfId="0" applyNumberFormat="1" applyFont="1" applyFill="1" applyBorder="1"/>
    <xf numFmtId="9" fontId="0" fillId="15" borderId="0" xfId="0" applyNumberFormat="1" applyFont="1" applyFill="1" applyBorder="1" applyAlignment="1">
      <alignment horizontal="left"/>
    </xf>
    <xf numFmtId="165" fontId="0" fillId="15" borderId="0" xfId="0" applyNumberFormat="1" applyFont="1" applyFill="1" applyBorder="1"/>
    <xf numFmtId="0" fontId="91" fillId="14" borderId="0" xfId="0" applyFont="1" applyFill="1" applyBorder="1" applyAlignment="1">
      <alignment vertical="top" wrapText="1"/>
    </xf>
    <xf numFmtId="0" fontId="4" fillId="0" borderId="0" xfId="2" applyNumberFormat="1" applyFont="1" applyFill="1" applyAlignment="1">
      <alignment horizontal="right"/>
    </xf>
    <xf numFmtId="165" fontId="88" fillId="0" borderId="0" xfId="1" applyNumberFormat="1" applyFont="1" applyFill="1" applyAlignment="1">
      <alignment horizontal="left"/>
    </xf>
    <xf numFmtId="9" fontId="0" fillId="6" borderId="0" xfId="0" applyNumberFormat="1" applyFill="1" applyBorder="1" applyAlignment="1">
      <alignment horizontal="center"/>
    </xf>
    <xf numFmtId="9" fontId="88" fillId="0" borderId="0" xfId="1" applyFont="1" applyFill="1" applyAlignment="1">
      <alignment horizontal="left"/>
    </xf>
    <xf numFmtId="9" fontId="3" fillId="0" borderId="0" xfId="1" applyFont="1"/>
    <xf numFmtId="9" fontId="3" fillId="8" borderId="0" xfId="1" applyFont="1" applyFill="1"/>
    <xf numFmtId="0" fontId="94" fillId="0" borderId="0" xfId="0" applyFont="1"/>
    <xf numFmtId="0" fontId="95" fillId="0" borderId="0" xfId="0" applyFont="1" applyAlignment="1">
      <alignment horizontal="center"/>
    </xf>
    <xf numFmtId="165" fontId="79" fillId="13" borderId="29" xfId="0" applyNumberFormat="1" applyFont="1" applyFill="1" applyBorder="1" applyAlignment="1">
      <alignment horizontal="center" vertical="center" wrapText="1"/>
    </xf>
    <xf numFmtId="0" fontId="41" fillId="0" borderId="0" xfId="1" applyNumberFormat="1" applyFont="1" applyFill="1" applyAlignment="1">
      <alignment horizontal="left"/>
    </xf>
    <xf numFmtId="165" fontId="3" fillId="0" borderId="0" xfId="0" applyNumberFormat="1" applyFont="1" applyAlignment="1">
      <alignment horizontal="right"/>
    </xf>
    <xf numFmtId="165" fontId="3" fillId="0" borderId="0" xfId="0" applyNumberFormat="1" applyFont="1" applyFill="1" applyAlignment="1">
      <alignment horizontal="right"/>
    </xf>
    <xf numFmtId="0" fontId="63" fillId="0" borderId="0" xfId="0" applyFont="1" applyAlignment="1">
      <alignment wrapText="1"/>
    </xf>
    <xf numFmtId="0" fontId="97" fillId="21" borderId="54" xfId="0" applyFont="1" applyFill="1" applyBorder="1" applyAlignment="1">
      <alignment horizontal="center" vertical="center" wrapText="1"/>
    </xf>
    <xf numFmtId="0" fontId="97" fillId="21" borderId="57" xfId="0" applyFont="1" applyFill="1" applyBorder="1" applyAlignment="1">
      <alignment horizontal="center"/>
    </xf>
    <xf numFmtId="2" fontId="98" fillId="22" borderId="56" xfId="0" applyNumberFormat="1" applyFont="1" applyFill="1" applyBorder="1" applyAlignment="1">
      <alignment horizontal="center"/>
    </xf>
    <xf numFmtId="2" fontId="98" fillId="22" borderId="58" xfId="0" applyNumberFormat="1" applyFont="1" applyFill="1" applyBorder="1" applyAlignment="1">
      <alignment horizontal="center"/>
    </xf>
    <xf numFmtId="0" fontId="48" fillId="0" borderId="0" xfId="0" applyFont="1" applyAlignment="1">
      <alignment vertical="center" wrapText="1"/>
    </xf>
    <xf numFmtId="0" fontId="93" fillId="0" borderId="0" xfId="0" applyFont="1" applyAlignment="1">
      <alignment vertical="center" wrapText="1"/>
    </xf>
    <xf numFmtId="0" fontId="92" fillId="0" borderId="0" xfId="0" applyFont="1" applyFill="1" applyAlignment="1">
      <alignment horizontal="left" vertical="center" wrapText="1"/>
    </xf>
    <xf numFmtId="0" fontId="91" fillId="14" borderId="0" xfId="0" applyFont="1" applyFill="1" applyBorder="1" applyAlignment="1">
      <alignment horizontal="left" vertical="top" wrapText="1"/>
    </xf>
    <xf numFmtId="0" fontId="36" fillId="0" borderId="0" xfId="0" applyFont="1" applyAlignment="1">
      <alignment vertical="center" wrapText="1"/>
    </xf>
    <xf numFmtId="0" fontId="36" fillId="0" borderId="0" xfId="0" applyFont="1" applyAlignment="1">
      <alignment horizontal="left" vertical="center" wrapText="1" indent="1"/>
    </xf>
    <xf numFmtId="0" fontId="97" fillId="21" borderId="53" xfId="0" applyFont="1" applyFill="1" applyBorder="1" applyAlignment="1">
      <alignment horizontal="center"/>
    </xf>
    <xf numFmtId="0" fontId="97" fillId="21" borderId="54" xfId="0" applyFont="1" applyFill="1" applyBorder="1" applyAlignment="1">
      <alignment horizontal="center"/>
    </xf>
    <xf numFmtId="0" fontId="97" fillId="21" borderId="55" xfId="0" applyFont="1" applyFill="1" applyBorder="1" applyAlignment="1">
      <alignment horizontal="center"/>
    </xf>
    <xf numFmtId="0" fontId="97" fillId="21" borderId="56" xfId="0" applyFont="1" applyFill="1" applyBorder="1" applyAlignment="1">
      <alignment horizontal="center"/>
    </xf>
    <xf numFmtId="0" fontId="9" fillId="4" borderId="39" xfId="0" applyFont="1" applyFill="1" applyBorder="1" applyAlignment="1">
      <alignment horizontal="center" vertical="center" wrapText="1"/>
    </xf>
    <xf numFmtId="3" fontId="74" fillId="3" borderId="45" xfId="0" applyNumberFormat="1" applyFont="1" applyFill="1" applyBorder="1" applyAlignment="1">
      <alignment horizontal="center" vertical="center"/>
    </xf>
    <xf numFmtId="3" fontId="74" fillId="3" borderId="15" xfId="0" applyNumberFormat="1" applyFont="1" applyFill="1" applyBorder="1" applyAlignment="1">
      <alignment horizontal="center" vertical="center"/>
    </xf>
    <xf numFmtId="3" fontId="74" fillId="3" borderId="44" xfId="0" applyNumberFormat="1" applyFont="1" applyFill="1" applyBorder="1" applyAlignment="1">
      <alignment horizontal="center" vertical="center"/>
    </xf>
    <xf numFmtId="0" fontId="3" fillId="0" borderId="0" xfId="0" applyFont="1" applyAlignment="1">
      <alignment horizontal="center"/>
    </xf>
    <xf numFmtId="0" fontId="19" fillId="4" borderId="14"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41" xfId="0" applyFont="1" applyFill="1" applyBorder="1" applyAlignment="1">
      <alignment horizontal="center" vertical="center"/>
    </xf>
    <xf numFmtId="0" fontId="19" fillId="4" borderId="16" xfId="0" applyFont="1" applyFill="1" applyBorder="1" applyAlignment="1">
      <alignment horizontal="center" vertical="center"/>
    </xf>
    <xf numFmtId="0" fontId="70" fillId="3" borderId="45" xfId="0" applyFont="1" applyFill="1" applyBorder="1" applyAlignment="1">
      <alignment horizontal="center" vertical="center"/>
    </xf>
    <xf numFmtId="0" fontId="70" fillId="3" borderId="15" xfId="0" applyFont="1" applyFill="1" applyBorder="1" applyAlignment="1">
      <alignment horizontal="center" vertical="center"/>
    </xf>
    <xf numFmtId="0" fontId="70" fillId="3" borderId="44" xfId="0" applyFont="1" applyFill="1" applyBorder="1" applyAlignment="1">
      <alignment horizontal="center" vertical="center"/>
    </xf>
    <xf numFmtId="3" fontId="23" fillId="3" borderId="0" xfId="0" applyNumberFormat="1" applyFont="1" applyFill="1" applyBorder="1" applyAlignment="1">
      <alignment horizontal="center"/>
    </xf>
    <xf numFmtId="0" fontId="3" fillId="5" borderId="7" xfId="0" applyFont="1" applyFill="1" applyBorder="1" applyAlignment="1">
      <alignment horizontal="center"/>
    </xf>
    <xf numFmtId="0" fontId="23" fillId="3" borderId="0" xfId="0" applyNumberFormat="1" applyFont="1" applyFill="1" applyBorder="1" applyAlignment="1">
      <alignment horizontal="center"/>
    </xf>
    <xf numFmtId="3" fontId="24" fillId="3" borderId="0" xfId="0" applyNumberFormat="1" applyFont="1" applyFill="1" applyBorder="1" applyAlignment="1">
      <alignment horizontal="center"/>
    </xf>
    <xf numFmtId="3" fontId="14" fillId="3" borderId="0" xfId="0" applyNumberFormat="1" applyFont="1" applyFill="1" applyBorder="1" applyAlignment="1">
      <alignment horizontal="center"/>
    </xf>
    <xf numFmtId="3" fontId="15" fillId="3" borderId="0" xfId="0" applyNumberFormat="1" applyFont="1" applyFill="1" applyBorder="1" applyAlignment="1">
      <alignment horizontal="center"/>
    </xf>
    <xf numFmtId="3" fontId="64" fillId="3" borderId="0" xfId="0" applyNumberFormat="1" applyFont="1" applyFill="1" applyBorder="1" applyAlignment="1">
      <alignment horizontal="center"/>
    </xf>
    <xf numFmtId="0" fontId="23" fillId="5" borderId="0" xfId="0" applyNumberFormat="1" applyFont="1" applyFill="1" applyBorder="1" applyAlignment="1">
      <alignment horizontal="center"/>
    </xf>
    <xf numFmtId="3" fontId="24" fillId="5" borderId="0" xfId="0" applyNumberFormat="1" applyFont="1" applyFill="1" applyBorder="1" applyAlignment="1">
      <alignment horizontal="center"/>
    </xf>
    <xf numFmtId="3" fontId="14" fillId="5" borderId="0" xfId="0" applyNumberFormat="1" applyFont="1" applyFill="1" applyBorder="1" applyAlignment="1">
      <alignment horizontal="center"/>
    </xf>
    <xf numFmtId="3" fontId="15" fillId="5" borderId="0" xfId="0" applyNumberFormat="1" applyFont="1" applyFill="1" applyBorder="1" applyAlignment="1">
      <alignment horizontal="center"/>
    </xf>
    <xf numFmtId="3" fontId="64" fillId="5" borderId="0" xfId="0" applyNumberFormat="1" applyFont="1" applyFill="1" applyBorder="1" applyAlignment="1">
      <alignment horizontal="center"/>
    </xf>
    <xf numFmtId="3" fontId="23" fillId="5" borderId="0" xfId="0" applyNumberFormat="1" applyFont="1" applyFill="1" applyBorder="1" applyAlignment="1">
      <alignment horizontal="center"/>
    </xf>
    <xf numFmtId="0" fontId="20" fillId="3" borderId="0" xfId="0" applyFont="1" applyFill="1" applyBorder="1" applyAlignment="1">
      <alignment horizontal="center"/>
    </xf>
    <xf numFmtId="0" fontId="17" fillId="3" borderId="0" xfId="0" applyFont="1" applyFill="1" applyBorder="1" applyAlignment="1">
      <alignment horizont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9" fillId="4" borderId="0" xfId="0" applyFont="1" applyFill="1" applyBorder="1" applyAlignment="1">
      <alignment horizontal="center" vertical="center" wrapText="1"/>
    </xf>
    <xf numFmtId="0" fontId="90" fillId="5" borderId="10" xfId="0" applyFont="1" applyFill="1" applyBorder="1" applyAlignment="1">
      <alignment horizontal="left" vertical="center"/>
    </xf>
    <xf numFmtId="0" fontId="90" fillId="5" borderId="11" xfId="0" applyFont="1" applyFill="1" applyBorder="1" applyAlignment="1">
      <alignment horizontal="left" vertical="center"/>
    </xf>
    <xf numFmtId="0" fontId="90" fillId="5" borderId="12" xfId="0" applyFont="1" applyFill="1" applyBorder="1" applyAlignment="1">
      <alignment horizontal="left" vertical="center"/>
    </xf>
    <xf numFmtId="2" fontId="12" fillId="8" borderId="10" xfId="0" applyNumberFormat="1" applyFont="1" applyFill="1" applyBorder="1" applyAlignment="1">
      <alignment horizontal="center" vertical="center"/>
    </xf>
    <xf numFmtId="2" fontId="12" fillId="8" borderId="11" xfId="0" applyNumberFormat="1" applyFont="1" applyFill="1" applyBorder="1" applyAlignment="1">
      <alignment horizontal="center" vertical="center"/>
    </xf>
    <xf numFmtId="2" fontId="12" fillId="8" borderId="12" xfId="0" applyNumberFormat="1" applyFont="1" applyFill="1" applyBorder="1" applyAlignment="1">
      <alignment horizontal="center" vertical="center"/>
    </xf>
    <xf numFmtId="0" fontId="18" fillId="5" borderId="10" xfId="0" applyFont="1" applyFill="1" applyBorder="1" applyAlignment="1">
      <alignment horizontal="left" vertical="center"/>
    </xf>
    <xf numFmtId="0" fontId="18" fillId="5" borderId="11" xfId="0" applyFont="1" applyFill="1" applyBorder="1" applyAlignment="1">
      <alignment horizontal="left" vertical="center"/>
    </xf>
    <xf numFmtId="0" fontId="18" fillId="5" borderId="12"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9" fillId="4" borderId="9" xfId="0" applyFont="1" applyFill="1" applyBorder="1" applyAlignment="1">
      <alignment horizontal="center" vertical="center"/>
    </xf>
    <xf numFmtId="3" fontId="12" fillId="2" borderId="9"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4" fontId="12" fillId="0" borderId="12" xfId="0" applyNumberFormat="1" applyFont="1" applyFill="1" applyBorder="1" applyAlignment="1">
      <alignment horizontal="center" vertical="center"/>
    </xf>
    <xf numFmtId="3" fontId="72" fillId="3" borderId="16" xfId="0" applyNumberFormat="1" applyFont="1" applyFill="1" applyBorder="1" applyAlignment="1">
      <alignment horizontal="center" vertical="center"/>
    </xf>
    <xf numFmtId="0" fontId="12" fillId="8" borderId="10" xfId="0" applyFont="1" applyFill="1" applyBorder="1" applyAlignment="1">
      <alignment horizontal="center" vertical="center"/>
    </xf>
    <xf numFmtId="0" fontId="12" fillId="8" borderId="11" xfId="0" applyFont="1" applyFill="1" applyBorder="1" applyAlignment="1">
      <alignment horizontal="center" vertical="center"/>
    </xf>
    <xf numFmtId="0" fontId="12" fillId="8" borderId="12" xfId="0" applyFont="1" applyFill="1" applyBorder="1" applyAlignment="1">
      <alignment horizontal="center" vertical="center"/>
    </xf>
    <xf numFmtId="0" fontId="71" fillId="0" borderId="15" xfId="0" applyFont="1" applyFill="1" applyBorder="1" applyAlignment="1">
      <alignment horizontal="center" vertical="center"/>
    </xf>
    <xf numFmtId="3" fontId="67" fillId="2" borderId="15" xfId="0" applyNumberFormat="1" applyFont="1" applyFill="1" applyBorder="1" applyAlignment="1">
      <alignment horizontal="center" vertical="center"/>
    </xf>
    <xf numFmtId="3" fontId="68" fillId="2" borderId="15" xfId="0" applyNumberFormat="1" applyFont="1" applyFill="1" applyBorder="1" applyAlignment="1">
      <alignment horizontal="center" vertical="center"/>
    </xf>
    <xf numFmtId="3" fontId="69" fillId="2" borderId="15" xfId="0" applyNumberFormat="1" applyFont="1" applyFill="1" applyBorder="1" applyAlignment="1">
      <alignment horizontal="center" vertical="center"/>
    </xf>
    <xf numFmtId="3" fontId="12" fillId="5" borderId="10" xfId="0" applyNumberFormat="1" applyFont="1" applyFill="1" applyBorder="1" applyAlignment="1">
      <alignment horizontal="center" vertical="center"/>
    </xf>
    <xf numFmtId="3" fontId="12" fillId="5" borderId="11" xfId="0" applyNumberFormat="1" applyFont="1" applyFill="1" applyBorder="1" applyAlignment="1">
      <alignment horizontal="center" vertical="center"/>
    </xf>
    <xf numFmtId="3" fontId="12" fillId="5" borderId="12" xfId="0" applyNumberFormat="1" applyFont="1" applyFill="1" applyBorder="1" applyAlignment="1">
      <alignment horizontal="center" vertical="center"/>
    </xf>
    <xf numFmtId="3" fontId="10" fillId="3" borderId="9" xfId="0" applyNumberFormat="1" applyFont="1" applyFill="1" applyBorder="1" applyAlignment="1">
      <alignment horizontal="center" vertical="center"/>
    </xf>
    <xf numFmtId="0" fontId="22" fillId="0" borderId="0" xfId="0" applyFont="1" applyAlignment="1">
      <alignment horizontal="center"/>
    </xf>
    <xf numFmtId="3" fontId="12" fillId="0" borderId="10"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3" fontId="12" fillId="0" borderId="12" xfId="0" applyNumberFormat="1" applyFont="1" applyFill="1" applyBorder="1" applyAlignment="1">
      <alignment horizontal="center" vertical="center"/>
    </xf>
    <xf numFmtId="165" fontId="43" fillId="0" borderId="43" xfId="0" applyNumberFormat="1" applyFont="1" applyBorder="1" applyAlignment="1">
      <alignment horizontal="center"/>
    </xf>
    <xf numFmtId="9" fontId="76" fillId="3" borderId="46" xfId="1" applyFont="1" applyFill="1" applyBorder="1" applyAlignment="1">
      <alignment horizontal="center"/>
    </xf>
    <xf numFmtId="9" fontId="86" fillId="3" borderId="0" xfId="0" applyNumberFormat="1" applyFont="1" applyFill="1" applyBorder="1" applyAlignment="1">
      <alignment horizontal="right"/>
    </xf>
    <xf numFmtId="0" fontId="19" fillId="4" borderId="42" xfId="0" applyFont="1" applyFill="1" applyBorder="1" applyAlignment="1">
      <alignment horizontal="center" vertical="center"/>
    </xf>
    <xf numFmtId="3" fontId="10" fillId="3" borderId="16" xfId="0" applyNumberFormat="1" applyFont="1" applyFill="1" applyBorder="1" applyAlignment="1">
      <alignment horizontal="center" vertical="center"/>
    </xf>
    <xf numFmtId="3" fontId="11" fillId="3" borderId="16" xfId="0" applyNumberFormat="1" applyFont="1" applyFill="1" applyBorder="1" applyAlignment="1">
      <alignment horizontal="center" vertical="center"/>
    </xf>
    <xf numFmtId="3" fontId="12" fillId="3" borderId="16" xfId="0" applyNumberFormat="1" applyFont="1" applyFill="1" applyBorder="1" applyAlignment="1">
      <alignment horizontal="center" vertical="center"/>
    </xf>
    <xf numFmtId="2" fontId="12" fillId="0" borderId="10" xfId="0" applyNumberFormat="1" applyFont="1" applyFill="1" applyBorder="1" applyAlignment="1">
      <alignment horizontal="center" vertical="center"/>
    </xf>
    <xf numFmtId="2" fontId="12" fillId="0" borderId="11" xfId="0" applyNumberFormat="1" applyFont="1" applyFill="1" applyBorder="1" applyAlignment="1">
      <alignment horizontal="center" vertical="center"/>
    </xf>
    <xf numFmtId="2" fontId="12" fillId="0" borderId="12" xfId="0" applyNumberFormat="1" applyFont="1" applyFill="1" applyBorder="1" applyAlignment="1">
      <alignment horizontal="center" vertical="center"/>
    </xf>
    <xf numFmtId="0" fontId="21" fillId="3" borderId="14" xfId="0" applyFont="1" applyFill="1" applyBorder="1" applyAlignment="1">
      <alignment horizontal="center" vertical="center"/>
    </xf>
    <xf numFmtId="0" fontId="21" fillId="3" borderId="13" xfId="0" applyFont="1" applyFill="1" applyBorder="1" applyAlignment="1">
      <alignment horizontal="center" vertical="center"/>
    </xf>
    <xf numFmtId="3" fontId="11" fillId="3" borderId="9" xfId="0" applyNumberFormat="1" applyFont="1" applyFill="1" applyBorder="1" applyAlignment="1">
      <alignment horizontal="center" vertical="center"/>
    </xf>
    <xf numFmtId="3" fontId="12" fillId="3" borderId="9" xfId="0" applyNumberFormat="1" applyFont="1" applyFill="1" applyBorder="1" applyAlignment="1">
      <alignment horizontal="center" vertical="center"/>
    </xf>
    <xf numFmtId="0" fontId="4" fillId="0" borderId="40" xfId="0" applyFont="1" applyFill="1" applyBorder="1" applyAlignment="1">
      <alignment horizontal="center"/>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40"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3" fillId="0" borderId="0" xfId="0" applyFont="1" applyAlignment="1">
      <alignment horizontal="center" wrapText="1"/>
    </xf>
    <xf numFmtId="3" fontId="66" fillId="3" borderId="16" xfId="0" applyNumberFormat="1" applyFont="1" applyFill="1" applyBorder="1" applyAlignment="1">
      <alignment horizontal="center" vertical="center"/>
    </xf>
    <xf numFmtId="3" fontId="60" fillId="18" borderId="9" xfId="0" applyNumberFormat="1" applyFont="1" applyFill="1" applyBorder="1" applyAlignment="1">
      <alignment horizontal="center" vertical="center"/>
    </xf>
    <xf numFmtId="3" fontId="60" fillId="13" borderId="9" xfId="0" applyNumberFormat="1" applyFont="1" applyFill="1" applyBorder="1" applyAlignment="1">
      <alignment horizontal="center" vertical="center"/>
    </xf>
    <xf numFmtId="3" fontId="16" fillId="3" borderId="0" xfId="0" applyNumberFormat="1" applyFont="1" applyFill="1" applyBorder="1" applyAlignment="1">
      <alignment horizontal="center"/>
    </xf>
    <xf numFmtId="3" fontId="16" fillId="5" borderId="0" xfId="0" applyNumberFormat="1" applyFont="1" applyFill="1" applyBorder="1" applyAlignment="1">
      <alignment horizontal="center"/>
    </xf>
    <xf numFmtId="3" fontId="65" fillId="5" borderId="0" xfId="0" applyNumberFormat="1" applyFont="1" applyFill="1" applyBorder="1" applyAlignment="1">
      <alignment horizontal="center"/>
    </xf>
    <xf numFmtId="3" fontId="65" fillId="3" borderId="0" xfId="0" applyNumberFormat="1" applyFont="1" applyFill="1" applyBorder="1" applyAlignment="1">
      <alignment horizontal="center"/>
    </xf>
    <xf numFmtId="0" fontId="70" fillId="20" borderId="15" xfId="0" applyFont="1" applyFill="1" applyBorder="1" applyAlignment="1">
      <alignment horizontal="center" vertical="center"/>
    </xf>
    <xf numFmtId="165" fontId="43" fillId="0" borderId="43" xfId="3" applyNumberFormat="1" applyFont="1" applyBorder="1" applyAlignment="1">
      <alignment horizontal="center"/>
    </xf>
    <xf numFmtId="165" fontId="0" fillId="0" borderId="43" xfId="3" applyNumberFormat="1" applyFont="1" applyBorder="1" applyAlignment="1">
      <alignment horizontal="left"/>
    </xf>
    <xf numFmtId="169" fontId="12" fillId="8" borderId="10" xfId="0" applyNumberFormat="1" applyFont="1" applyFill="1" applyBorder="1" applyAlignment="1">
      <alignment horizontal="center" vertical="center"/>
    </xf>
    <xf numFmtId="169" fontId="12" fillId="8" borderId="11" xfId="0" applyNumberFormat="1" applyFont="1" applyFill="1" applyBorder="1" applyAlignment="1">
      <alignment horizontal="center" vertical="center"/>
    </xf>
    <xf numFmtId="169" fontId="12" fillId="8" borderId="12" xfId="0" applyNumberFormat="1" applyFont="1" applyFill="1" applyBorder="1" applyAlignment="1">
      <alignment horizontal="center" vertical="center"/>
    </xf>
    <xf numFmtId="0" fontId="19" fillId="4" borderId="15" xfId="0" applyFont="1" applyFill="1" applyBorder="1" applyAlignment="1">
      <alignment horizontal="center" vertical="center"/>
    </xf>
    <xf numFmtId="3" fontId="10" fillId="2" borderId="15" xfId="0" applyNumberFormat="1" applyFont="1" applyFill="1" applyBorder="1" applyAlignment="1">
      <alignment horizontal="center" vertical="center"/>
    </xf>
    <xf numFmtId="3" fontId="11" fillId="2" borderId="15" xfId="0" applyNumberFormat="1" applyFont="1" applyFill="1" applyBorder="1" applyAlignment="1">
      <alignment horizontal="center" vertical="center"/>
    </xf>
    <xf numFmtId="3" fontId="12" fillId="2" borderId="15" xfId="0" applyNumberFormat="1" applyFont="1" applyFill="1" applyBorder="1" applyAlignment="1">
      <alignment horizontal="center" vertical="center"/>
    </xf>
    <xf numFmtId="0" fontId="57" fillId="18" borderId="42" xfId="0" applyFont="1" applyFill="1" applyBorder="1" applyAlignment="1">
      <alignment horizontal="center" vertical="center"/>
    </xf>
    <xf numFmtId="0" fontId="19" fillId="13" borderId="42" xfId="0" applyFont="1" applyFill="1" applyBorder="1" applyAlignment="1">
      <alignment horizontal="center" vertical="center"/>
    </xf>
    <xf numFmtId="0" fontId="57" fillId="18" borderId="14" xfId="0" applyFont="1" applyFill="1" applyBorder="1" applyAlignment="1">
      <alignment horizontal="center" vertical="center"/>
    </xf>
    <xf numFmtId="0" fontId="57" fillId="18" borderId="13" xfId="0" applyFont="1" applyFill="1" applyBorder="1" applyAlignment="1">
      <alignment horizontal="center" vertical="center"/>
    </xf>
    <xf numFmtId="0" fontId="57" fillId="18" borderId="41" xfId="0" applyFont="1" applyFill="1" applyBorder="1" applyAlignment="1">
      <alignment horizontal="center" vertical="center"/>
    </xf>
    <xf numFmtId="0" fontId="19" fillId="13" borderId="14" xfId="0" applyFont="1" applyFill="1" applyBorder="1" applyAlignment="1">
      <alignment horizontal="center" vertical="center"/>
    </xf>
    <xf numFmtId="0" fontId="19" fillId="13" borderId="13" xfId="0" applyFont="1" applyFill="1" applyBorder="1" applyAlignment="1">
      <alignment horizontal="center" vertical="center"/>
    </xf>
    <xf numFmtId="0" fontId="19" fillId="13" borderId="41" xfId="0" applyFont="1" applyFill="1" applyBorder="1" applyAlignment="1">
      <alignment horizontal="center" vertical="center"/>
    </xf>
    <xf numFmtId="0" fontId="1" fillId="0" borderId="40"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40"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9" fontId="0" fillId="0" borderId="0" xfId="0" applyNumberFormat="1" applyBorder="1" applyAlignment="1">
      <alignment horizontal="center"/>
    </xf>
    <xf numFmtId="0" fontId="19" fillId="0" borderId="0" xfId="0" applyFont="1" applyFill="1" applyBorder="1" applyAlignment="1">
      <alignment horizontal="center" vertical="center"/>
    </xf>
    <xf numFmtId="0" fontId="57" fillId="18" borderId="0" xfId="0" applyFont="1" applyFill="1" applyBorder="1" applyAlignment="1">
      <alignment horizontal="center" vertical="center"/>
    </xf>
    <xf numFmtId="0" fontId="57" fillId="18" borderId="47" xfId="0" applyFont="1" applyFill="1" applyBorder="1" applyAlignment="1">
      <alignment horizontal="center" vertical="center"/>
    </xf>
    <xf numFmtId="0" fontId="19" fillId="13" borderId="48" xfId="0" applyFont="1" applyFill="1" applyBorder="1" applyAlignment="1">
      <alignment horizontal="center" vertical="center"/>
    </xf>
    <xf numFmtId="0" fontId="19" fillId="13" borderId="0" xfId="0" applyFont="1" applyFill="1" applyBorder="1" applyAlignment="1">
      <alignment horizontal="center" vertical="center"/>
    </xf>
    <xf numFmtId="0" fontId="19" fillId="4" borderId="49" xfId="0" applyFont="1" applyFill="1" applyBorder="1" applyAlignment="1">
      <alignment horizontal="center" vertical="center"/>
    </xf>
    <xf numFmtId="0" fontId="19" fillId="4" borderId="50" xfId="0" applyFont="1" applyFill="1" applyBorder="1" applyAlignment="1">
      <alignment horizontal="center" vertical="center"/>
    </xf>
    <xf numFmtId="0" fontId="19" fillId="4" borderId="47"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48" xfId="0" applyFont="1" applyFill="1" applyBorder="1" applyAlignment="1">
      <alignment horizontal="center" vertical="center"/>
    </xf>
    <xf numFmtId="0" fontId="96" fillId="0" borderId="0" xfId="0" applyFont="1" applyAlignment="1">
      <alignment horizontal="center" vertical="center"/>
    </xf>
    <xf numFmtId="4" fontId="15" fillId="5" borderId="0" xfId="0" applyNumberFormat="1" applyFont="1" applyFill="1" applyBorder="1" applyAlignment="1">
      <alignment horizontal="center"/>
    </xf>
    <xf numFmtId="4" fontId="15" fillId="3" borderId="0" xfId="0" applyNumberFormat="1" applyFont="1" applyFill="1" applyBorder="1" applyAlignment="1">
      <alignment horizontal="center"/>
    </xf>
    <xf numFmtId="4" fontId="24" fillId="5" borderId="0" xfId="0" applyNumberFormat="1" applyFont="1" applyFill="1" applyBorder="1" applyAlignment="1">
      <alignment horizontal="center"/>
    </xf>
    <xf numFmtId="4" fontId="24" fillId="3" borderId="0" xfId="0" applyNumberFormat="1" applyFont="1" applyFill="1" applyBorder="1" applyAlignment="1">
      <alignment horizontal="center"/>
    </xf>
    <xf numFmtId="4" fontId="14" fillId="5" borderId="0" xfId="0" applyNumberFormat="1" applyFont="1" applyFill="1" applyBorder="1" applyAlignment="1">
      <alignment horizontal="center"/>
    </xf>
    <xf numFmtId="4" fontId="14" fillId="3" borderId="0" xfId="0" applyNumberFormat="1" applyFont="1" applyFill="1" applyBorder="1" applyAlignment="1">
      <alignment horizontal="center"/>
    </xf>
    <xf numFmtId="4" fontId="16" fillId="3" borderId="0" xfId="0" applyNumberFormat="1" applyFont="1" applyFill="1" applyBorder="1" applyAlignment="1">
      <alignment horizontal="center"/>
    </xf>
    <xf numFmtId="4" fontId="16" fillId="5" borderId="0" xfId="0" applyNumberFormat="1" applyFont="1" applyFill="1" applyBorder="1" applyAlignment="1">
      <alignment horizontal="center"/>
    </xf>
    <xf numFmtId="4" fontId="23" fillId="5" borderId="0" xfId="0" applyNumberFormat="1" applyFont="1" applyFill="1" applyBorder="1" applyAlignment="1">
      <alignment horizontal="center"/>
    </xf>
    <xf numFmtId="4" fontId="23" fillId="3" borderId="0" xfId="0" applyNumberFormat="1" applyFont="1" applyFill="1" applyBorder="1" applyAlignment="1">
      <alignment horizontal="center"/>
    </xf>
    <xf numFmtId="3" fontId="13" fillId="3" borderId="16" xfId="0" applyNumberFormat="1" applyFont="1" applyFill="1" applyBorder="1" applyAlignment="1">
      <alignment horizontal="center" vertical="center"/>
    </xf>
  </cellXfs>
  <cellStyles count="5">
    <cellStyle name="Comma" xfId="2" builtinId="3"/>
    <cellStyle name="Currency" xfId="3" builtinId="4"/>
    <cellStyle name="Hyperlink" xfId="4" builtinId="8"/>
    <cellStyle name="Normal" xfId="0" builtinId="0"/>
    <cellStyle name="Percent" xfId="1" builtinId="5"/>
  </cellStyles>
  <dxfs count="12">
    <dxf>
      <font>
        <color theme="0"/>
      </font>
    </dxf>
    <dxf>
      <font>
        <color theme="0"/>
      </font>
    </dxf>
    <dxf>
      <font>
        <color theme="0"/>
      </font>
    </dxf>
    <dxf>
      <font>
        <b val="0"/>
        <i val="0"/>
        <strike val="0"/>
        <condense val="0"/>
        <extend val="0"/>
        <outline val="0"/>
        <shadow val="0"/>
        <u val="none"/>
        <vertAlign val="baseline"/>
        <sz val="11"/>
        <color theme="1"/>
        <name val="Calibri"/>
        <scheme val="minor"/>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dxf>
    <dxf>
      <font>
        <b val="0"/>
        <i val="0"/>
        <strike val="0"/>
        <condense val="0"/>
        <extend val="0"/>
        <outline val="0"/>
        <shadow val="0"/>
        <u val="none"/>
        <vertAlign val="baseline"/>
        <sz val="11"/>
        <color theme="1"/>
        <name val="Calibri"/>
        <scheme val="minor"/>
      </font>
      <numFmt numFmtId="165" formatCode="&quot;$&quot;#,##0"/>
    </dxf>
    <dxf>
      <font>
        <b val="0"/>
        <i val="0"/>
        <strike val="0"/>
        <condense val="0"/>
        <extend val="0"/>
        <outline val="0"/>
        <shadow val="0"/>
        <u val="none"/>
        <vertAlign val="baseline"/>
        <sz val="11"/>
        <color theme="1"/>
        <name val="Calibri"/>
        <scheme val="minor"/>
      </font>
      <numFmt numFmtId="165" formatCode="&quot;$&quot;#,##0"/>
    </dxf>
    <dxf>
      <font>
        <b val="0"/>
        <i val="0"/>
        <strike val="0"/>
        <condense val="0"/>
        <extend val="0"/>
        <outline val="0"/>
        <shadow val="0"/>
        <u val="none"/>
        <vertAlign val="baseline"/>
        <sz val="11"/>
        <color theme="1"/>
        <name val="Calibri"/>
        <scheme val="minor"/>
      </font>
      <numFmt numFmtId="165" formatCode="&quot;$&quot;#,##0"/>
    </dxf>
    <dxf>
      <font>
        <b val="0"/>
        <i val="0"/>
        <strike val="0"/>
        <condense val="0"/>
        <extend val="0"/>
        <outline val="0"/>
        <shadow val="0"/>
        <u val="none"/>
        <vertAlign val="baseline"/>
        <sz val="11"/>
        <color theme="1"/>
        <name val="Calibri"/>
        <scheme val="minor"/>
      </font>
      <numFmt numFmtId="13"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alignment horizontal="center" vertical="center" textRotation="0" wrapText="1" indent="0" justifyLastLine="0" shrinkToFit="0" readingOrder="0"/>
    </dxf>
  </dxfs>
  <tableStyles count="0" defaultTableStyle="TableStyleMedium9" defaultPivotStyle="PivotStyleLight16"/>
  <colors>
    <mruColors>
      <color rgb="FFF2F1E6"/>
      <color rgb="FF33CC33"/>
      <color rgb="FF666699"/>
      <color rgb="FFFF6600"/>
      <color rgb="FFF6F5EE"/>
      <color rgb="FF009900"/>
      <color rgb="FF00FF00"/>
      <color rgb="FFEEECDE"/>
      <color rgb="FFF8F7F2"/>
      <color rgb="FFF7F6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145871220392"/>
          <c:y val="8.2190583319942168E-2"/>
          <c:w val="0.74637451617096418"/>
          <c:h val="0.76825368257539262"/>
        </c:manualLayout>
      </c:layout>
      <c:barChart>
        <c:barDir val="col"/>
        <c:grouping val="clustered"/>
        <c:varyColors val="0"/>
        <c:ser>
          <c:idx val="0"/>
          <c:order val="0"/>
          <c:tx>
            <c:strRef>
              <c:f>MaxPreTaxCalculations!$K$2</c:f>
              <c:strCache>
                <c:ptCount val="1"/>
                <c:pt idx="0">
                  <c:v>Your</c:v>
                </c:pt>
              </c:strCache>
            </c:strRef>
          </c:tx>
          <c:invertIfNegative val="0"/>
          <c:cat>
            <c:numRef>
              <c:f>MaxPreTaxCalculations!$J$3:$J$12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MaxPreTaxCalculations!$K$3:$K$12</c:f>
              <c:numCache>
                <c:formatCode>#,##0</c:formatCode>
                <c:ptCount val="10"/>
                <c:pt idx="0">
                  <c:v>6000</c:v>
                </c:pt>
                <c:pt idx="1">
                  <c:v>18545.400000000001</c:v>
                </c:pt>
                <c:pt idx="2">
                  <c:v>45974.773084974004</c:v>
                </c:pt>
                <c:pt idx="3">
                  <c:v>76846.774144889117</c:v>
                </c:pt>
                <c:pt idx="4">
                  <c:v>111593.48332015291</c:v>
                </c:pt>
                <c:pt idx="5">
                  <c:v>150701.21061542013</c:v>
                </c:pt>
                <c:pt idx="6">
                  <c:v>194717.30222532086</c:v>
                </c:pt>
                <c:pt idx="7">
                  <c:v>244257.8011140312</c:v>
                </c:pt>
                <c:pt idx="8">
                  <c:v>300016.0690650699</c:v>
                </c:pt>
                <c:pt idx="9">
                  <c:v>362772.49087430455</c:v>
                </c:pt>
              </c:numCache>
            </c:numRef>
          </c:val>
          <c:extLst>
            <c:ext xmlns:c16="http://schemas.microsoft.com/office/drawing/2014/chart" uri="{C3380CC4-5D6E-409C-BE32-E72D297353CC}">
              <c16:uniqueId val="{00000000-A499-47D7-A6AB-920EA0C88DD2}"/>
            </c:ext>
          </c:extLst>
        </c:ser>
        <c:ser>
          <c:idx val="1"/>
          <c:order val="1"/>
          <c:tx>
            <c:strRef>
              <c:f>MaxPreTaxCalculations!$L$2</c:f>
              <c:strCache>
                <c:ptCount val="1"/>
                <c:pt idx="0">
                  <c:v>Employer's</c:v>
                </c:pt>
              </c:strCache>
            </c:strRef>
          </c:tx>
          <c:invertIfNegative val="0"/>
          <c:cat>
            <c:numRef>
              <c:f>MaxPreTaxCalculations!$J$3:$J$12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MaxPreTaxCalculations!$L$3:$L$12</c:f>
              <c:numCache>
                <c:formatCode>#,##0</c:formatCode>
                <c:ptCount val="10"/>
                <c:pt idx="0">
                  <c:v>3000</c:v>
                </c:pt>
                <c:pt idx="1">
                  <c:v>9272.7000000000007</c:v>
                </c:pt>
                <c:pt idx="2">
                  <c:v>22987.386542487002</c:v>
                </c:pt>
                <c:pt idx="3">
                  <c:v>38423.387072444559</c:v>
                </c:pt>
                <c:pt idx="4">
                  <c:v>55796.741660076455</c:v>
                </c:pt>
                <c:pt idx="5">
                  <c:v>75350.605307710066</c:v>
                </c:pt>
                <c:pt idx="6">
                  <c:v>97358.651112660431</c:v>
                </c:pt>
                <c:pt idx="7">
                  <c:v>122128.9005570156</c:v>
                </c:pt>
                <c:pt idx="8">
                  <c:v>150008.03453253495</c:v>
                </c:pt>
                <c:pt idx="9">
                  <c:v>181386.24543715228</c:v>
                </c:pt>
              </c:numCache>
            </c:numRef>
          </c:val>
          <c:extLst>
            <c:ext xmlns:c16="http://schemas.microsoft.com/office/drawing/2014/chart" uri="{C3380CC4-5D6E-409C-BE32-E72D297353CC}">
              <c16:uniqueId val="{00000001-A499-47D7-A6AB-920EA0C88DD2}"/>
            </c:ext>
          </c:extLst>
        </c:ser>
        <c:ser>
          <c:idx val="2"/>
          <c:order val="2"/>
          <c:tx>
            <c:strRef>
              <c:f>MaxPreTaxCalculations!$M$2</c:f>
              <c:strCache>
                <c:ptCount val="1"/>
                <c:pt idx="0">
                  <c:v>Gain</c:v>
                </c:pt>
              </c:strCache>
            </c:strRef>
          </c:tx>
          <c:invertIfNegative val="0"/>
          <c:cat>
            <c:numRef>
              <c:f>MaxPreTaxCalculations!$J$3:$J$12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MaxPreTaxCalculations!$M$3:$M$12</c:f>
              <c:numCache>
                <c:formatCode>#,##0</c:formatCode>
                <c:ptCount val="10"/>
                <c:pt idx="0" formatCode="#,##0.00">
                  <c:v>8.7311491370201111E-11</c:v>
                </c:pt>
                <c:pt idx="1">
                  <c:v>1953.0000000003201</c:v>
                </c:pt>
                <c:pt idx="2">
                  <c:v>15617.052859590884</c:v>
                </c:pt>
                <c:pt idx="3">
                  <c:v>46868.907137130591</c:v>
                </c:pt>
                <c:pt idx="4">
                  <c:v>102849.20294555157</c:v>
                </c:pt>
                <c:pt idx="5">
                  <c:v>193128.01751713429</c:v>
                </c:pt>
                <c:pt idx="6">
                  <c:v>330486.30082846689</c:v>
                </c:pt>
                <c:pt idx="7">
                  <c:v>531943.48875293427</c:v>
                </c:pt>
                <c:pt idx="8">
                  <c:v>820108.22022508865</c:v>
                </c:pt>
                <c:pt idx="9">
                  <c:v>1224953.0454934419</c:v>
                </c:pt>
              </c:numCache>
            </c:numRef>
          </c:val>
          <c:extLst>
            <c:ext xmlns:c16="http://schemas.microsoft.com/office/drawing/2014/chart" uri="{C3380CC4-5D6E-409C-BE32-E72D297353CC}">
              <c16:uniqueId val="{00000002-A499-47D7-A6AB-920EA0C88DD2}"/>
            </c:ext>
          </c:extLst>
        </c:ser>
        <c:dLbls>
          <c:showLegendKey val="0"/>
          <c:showVal val="0"/>
          <c:showCatName val="0"/>
          <c:showSerName val="0"/>
          <c:showPercent val="0"/>
          <c:showBubbleSize val="0"/>
        </c:dLbls>
        <c:gapWidth val="150"/>
        <c:axId val="-1688328672"/>
        <c:axId val="-1688325952"/>
      </c:barChart>
      <c:catAx>
        <c:axId val="-1688328672"/>
        <c:scaling>
          <c:orientation val="minMax"/>
        </c:scaling>
        <c:delete val="0"/>
        <c:axPos val="b"/>
        <c:numFmt formatCode="General" sourceLinked="1"/>
        <c:majorTickMark val="out"/>
        <c:minorTickMark val="none"/>
        <c:tickLblPos val="nextTo"/>
        <c:crossAx val="-1688325952"/>
        <c:crosses val="autoZero"/>
        <c:auto val="1"/>
        <c:lblAlgn val="ctr"/>
        <c:lblOffset val="100"/>
        <c:noMultiLvlLbl val="0"/>
      </c:catAx>
      <c:valAx>
        <c:axId val="-1688325952"/>
        <c:scaling>
          <c:orientation val="minMax"/>
        </c:scaling>
        <c:delete val="0"/>
        <c:axPos val="l"/>
        <c:numFmt formatCode="#,##0" sourceLinked="1"/>
        <c:majorTickMark val="out"/>
        <c:minorTickMark val="none"/>
        <c:tickLblPos val="nextTo"/>
        <c:crossAx val="-1688328672"/>
        <c:crosses val="autoZero"/>
        <c:crossBetween val="between"/>
      </c:valAx>
    </c:plotArea>
    <c:legend>
      <c:legendPos val="r"/>
      <c:layout>
        <c:manualLayout>
          <c:xMode val="edge"/>
          <c:yMode val="edge"/>
          <c:x val="0.19033969941076029"/>
          <c:y val="6.9544164122341864E-2"/>
          <c:w val="0.75554742250216766"/>
          <c:h val="0.1036250468691413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000000000000003"/>
          <c:y val="0.26851851851851855"/>
          <c:w val="0.28888888888888897"/>
          <c:h val="0.48148148148148151"/>
        </c:manualLayout>
      </c:layout>
      <c:pieChart>
        <c:varyColors val="1"/>
        <c:ser>
          <c:idx val="0"/>
          <c:order val="0"/>
          <c:dLbls>
            <c:dLbl>
              <c:idx val="0"/>
              <c:spPr>
                <a:noFill/>
                <a:ln>
                  <a:noFill/>
                </a:ln>
                <a:effectLst/>
              </c:spPr>
              <c:txPr>
                <a:bodyPr wrap="square" lIns="38100" tIns="19050" rIns="38100" bIns="19050" anchor="ctr">
                  <a:spAutoFit/>
                </a:bodyPr>
                <a:lstStyle/>
                <a:p>
                  <a:pPr>
                    <a:defRPr>
                      <a:solidFill>
                        <a:schemeClr val="bg1"/>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0-ECC5-48C7-A63B-65800DD3F6C3}"/>
                </c:ext>
              </c:extLst>
            </c:dLbl>
            <c:dLbl>
              <c:idx val="2"/>
              <c:spPr>
                <a:noFill/>
                <a:ln>
                  <a:noFill/>
                </a:ln>
                <a:effectLst/>
              </c:spPr>
              <c:txPr>
                <a:bodyPr wrap="square" lIns="38100" tIns="19050" rIns="38100" bIns="19050" anchor="ctr">
                  <a:spAutoFit/>
                </a:bodyPr>
                <a:lstStyle/>
                <a:p>
                  <a:pPr>
                    <a:defRPr>
                      <a:solidFill>
                        <a:schemeClr val="bg1"/>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ECC5-48C7-A63B-65800DD3F6C3}"/>
                </c:ext>
              </c:extLst>
            </c:dLbl>
            <c:spPr>
              <a:noFill/>
              <a:ln>
                <a:noFill/>
              </a:ln>
              <a:effectLst/>
            </c:spPr>
            <c:dLblPos val="bestFit"/>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MaxPreTaxCalculations!$K$15:$K$17</c:f>
              <c:strCache>
                <c:ptCount val="3"/>
                <c:pt idx="0">
                  <c:v>Your</c:v>
                </c:pt>
                <c:pt idx="1">
                  <c:v>Employer's</c:v>
                </c:pt>
                <c:pt idx="2">
                  <c:v>Gain</c:v>
                </c:pt>
              </c:strCache>
            </c:strRef>
          </c:cat>
          <c:val>
            <c:numRef>
              <c:f>MaxPreTaxCalculations!$L$15:$L$17</c:f>
              <c:numCache>
                <c:formatCode>#,##0</c:formatCode>
                <c:ptCount val="3"/>
                <c:pt idx="0">
                  <c:v>362772.49087430455</c:v>
                </c:pt>
                <c:pt idx="1">
                  <c:v>181386.24543715228</c:v>
                </c:pt>
                <c:pt idx="2">
                  <c:v>1224953.0454934419</c:v>
                </c:pt>
              </c:numCache>
            </c:numRef>
          </c:val>
          <c:extLst>
            <c:ext xmlns:c16="http://schemas.microsoft.com/office/drawing/2014/chart" uri="{C3380CC4-5D6E-409C-BE32-E72D297353CC}">
              <c16:uniqueId val="{00000000-8AE0-4116-8D33-9A82E12D24B6}"/>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26618547681549"/>
          <c:y val="5.1400554097404488E-2"/>
          <c:w val="0.82862270341207389"/>
          <c:h val="0.79822506561679785"/>
        </c:manualLayout>
      </c:layout>
      <c:lineChart>
        <c:grouping val="standard"/>
        <c:varyColors val="0"/>
        <c:ser>
          <c:idx val="0"/>
          <c:order val="0"/>
          <c:spPr>
            <a:ln>
              <a:solidFill>
                <a:srgbClr val="C00000"/>
              </a:solidFill>
            </a:ln>
          </c:spPr>
          <c:marker>
            <c:symbol val="none"/>
          </c:marker>
          <c:dLbls>
            <c:dLbl>
              <c:idx val="9"/>
              <c:layout>
                <c:manualLayout>
                  <c:x val="-4.4345921827084335E-2"/>
                  <c:y val="-6.7323678947495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71-4D69-8AE8-B42D81B858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MaxPreTaxCalculations!$N$3:$N$12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MaxPreTaxCalculations!$O$3:$O$12</c:f>
              <c:numCache>
                <c:formatCode>#,##0</c:formatCode>
                <c:ptCount val="10"/>
                <c:pt idx="0" formatCode="General">
                  <c:v>9000.0000000000873</c:v>
                </c:pt>
                <c:pt idx="1">
                  <c:v>29771.100000000322</c:v>
                </c:pt>
                <c:pt idx="2">
                  <c:v>84579.212487051889</c:v>
                </c:pt>
                <c:pt idx="3">
                  <c:v>162139.06835446425</c:v>
                </c:pt>
                <c:pt idx="4">
                  <c:v>270239.42792578094</c:v>
                </c:pt>
                <c:pt idx="5">
                  <c:v>419179.83344026445</c:v>
                </c:pt>
                <c:pt idx="6">
                  <c:v>622562.25416644814</c:v>
                </c:pt>
                <c:pt idx="7">
                  <c:v>898330.19042398105</c:v>
                </c:pt>
                <c:pt idx="8">
                  <c:v>1270132.3238226934</c:v>
                </c:pt>
                <c:pt idx="9">
                  <c:v>1769111.7818048988</c:v>
                </c:pt>
              </c:numCache>
            </c:numRef>
          </c:val>
          <c:smooth val="0"/>
          <c:extLst>
            <c:ext xmlns:c16="http://schemas.microsoft.com/office/drawing/2014/chart" uri="{C3380CC4-5D6E-409C-BE32-E72D297353CC}">
              <c16:uniqueId val="{00000000-3AF9-4A68-9651-4B85484B1E2A}"/>
            </c:ext>
          </c:extLst>
        </c:ser>
        <c:dLbls>
          <c:showLegendKey val="0"/>
          <c:showVal val="0"/>
          <c:showCatName val="0"/>
          <c:showSerName val="0"/>
          <c:showPercent val="0"/>
          <c:showBubbleSize val="0"/>
        </c:dLbls>
        <c:smooth val="0"/>
        <c:axId val="-1688323776"/>
        <c:axId val="-1688321600"/>
      </c:lineChart>
      <c:catAx>
        <c:axId val="-1688323776"/>
        <c:scaling>
          <c:orientation val="minMax"/>
        </c:scaling>
        <c:delete val="0"/>
        <c:axPos val="b"/>
        <c:numFmt formatCode="General" sourceLinked="1"/>
        <c:majorTickMark val="out"/>
        <c:minorTickMark val="none"/>
        <c:tickLblPos val="nextTo"/>
        <c:crossAx val="-1688321600"/>
        <c:crosses val="autoZero"/>
        <c:auto val="1"/>
        <c:lblAlgn val="ctr"/>
        <c:lblOffset val="100"/>
        <c:noMultiLvlLbl val="0"/>
      </c:catAx>
      <c:valAx>
        <c:axId val="-1688321600"/>
        <c:scaling>
          <c:orientation val="minMax"/>
        </c:scaling>
        <c:delete val="0"/>
        <c:axPos val="l"/>
        <c:numFmt formatCode="General" sourceLinked="1"/>
        <c:majorTickMark val="out"/>
        <c:minorTickMark val="none"/>
        <c:tickLblPos val="nextTo"/>
        <c:crossAx val="-1688323776"/>
        <c:crosses val="autoZero"/>
        <c:crossBetween val="between"/>
        <c:dispUnits>
          <c:builtInUnit val="thousands"/>
          <c:dispUnitsLbl>
            <c:layout>
              <c:manualLayout>
                <c:xMode val="edge"/>
                <c:yMode val="edge"/>
                <c:x val="4.7496604219765598E-3"/>
                <c:y val="0.4675834317245367"/>
              </c:manualLayout>
            </c:layout>
          </c:dispUnitsLbl>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145871220392"/>
          <c:y val="8.2190583319942168E-2"/>
          <c:w val="0.74637451617096418"/>
          <c:h val="0.76825368257539262"/>
        </c:manualLayout>
      </c:layout>
      <c:barChart>
        <c:barDir val="col"/>
        <c:grouping val="clustered"/>
        <c:varyColors val="0"/>
        <c:ser>
          <c:idx val="0"/>
          <c:order val="0"/>
          <c:tx>
            <c:strRef>
              <c:f>RothCalculations!$K$2</c:f>
              <c:strCache>
                <c:ptCount val="1"/>
                <c:pt idx="0">
                  <c:v>Your</c:v>
                </c:pt>
              </c:strCache>
            </c:strRef>
          </c:tx>
          <c:invertIfNegative val="0"/>
          <c:cat>
            <c:numRef>
              <c:f>RothCalculations!$J$3:$J$12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RothCalculations!$K$3:$K$12</c:f>
              <c:numCache>
                <c:formatCode>#,##0</c:formatCode>
                <c:ptCount val="10"/>
                <c:pt idx="0">
                  <c:v>19500</c:v>
                </c:pt>
                <c:pt idx="1">
                  <c:v>60272.55</c:v>
                </c:pt>
                <c:pt idx="2">
                  <c:v>149418.01252616549</c:v>
                </c:pt>
                <c:pt idx="3">
                  <c:v>249752.0159708896</c:v>
                </c:pt>
                <c:pt idx="4">
                  <c:v>362678.82079049695</c:v>
                </c:pt>
                <c:pt idx="5">
                  <c:v>489778.93450011546</c:v>
                </c:pt>
                <c:pt idx="6">
                  <c:v>632831.23223229288</c:v>
                </c:pt>
                <c:pt idx="7">
                  <c:v>793837.85362060159</c:v>
                </c:pt>
                <c:pt idx="8">
                  <c:v>975052.22446147737</c:v>
                </c:pt>
                <c:pt idx="9">
                  <c:v>1179010.5953414903</c:v>
                </c:pt>
              </c:numCache>
            </c:numRef>
          </c:val>
          <c:extLst>
            <c:ext xmlns:c16="http://schemas.microsoft.com/office/drawing/2014/chart" uri="{C3380CC4-5D6E-409C-BE32-E72D297353CC}">
              <c16:uniqueId val="{00000000-7E6C-45CF-9D1E-1662F421131F}"/>
            </c:ext>
          </c:extLst>
        </c:ser>
        <c:ser>
          <c:idx val="1"/>
          <c:order val="1"/>
          <c:tx>
            <c:strRef>
              <c:f>RothCalculations!$L$2</c:f>
              <c:strCache>
                <c:ptCount val="1"/>
                <c:pt idx="0">
                  <c:v>Employer's</c:v>
                </c:pt>
              </c:strCache>
            </c:strRef>
          </c:tx>
          <c:invertIfNegative val="0"/>
          <c:cat>
            <c:numRef>
              <c:f>RothCalculations!$J$3:$J$12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RothCalculations!$L$3:$L$12</c:f>
              <c:numCache>
                <c:formatCode>#,##0</c:formatCode>
                <c:ptCount val="10"/>
                <c:pt idx="0">
                  <c:v>6000</c:v>
                </c:pt>
                <c:pt idx="1">
                  <c:v>18545.400000000001</c:v>
                </c:pt>
                <c:pt idx="2">
                  <c:v>45974.773084974004</c:v>
                </c:pt>
                <c:pt idx="3">
                  <c:v>76846.774144889117</c:v>
                </c:pt>
                <c:pt idx="4">
                  <c:v>111593.48332015291</c:v>
                </c:pt>
                <c:pt idx="5">
                  <c:v>150701.21061542013</c:v>
                </c:pt>
                <c:pt idx="6">
                  <c:v>194717.30222532086</c:v>
                </c:pt>
                <c:pt idx="7">
                  <c:v>244257.8011140312</c:v>
                </c:pt>
                <c:pt idx="8">
                  <c:v>300016.0690650699</c:v>
                </c:pt>
                <c:pt idx="9">
                  <c:v>362772.49087430455</c:v>
                </c:pt>
              </c:numCache>
            </c:numRef>
          </c:val>
          <c:extLst>
            <c:ext xmlns:c16="http://schemas.microsoft.com/office/drawing/2014/chart" uri="{C3380CC4-5D6E-409C-BE32-E72D297353CC}">
              <c16:uniqueId val="{00000001-7E6C-45CF-9D1E-1662F421131F}"/>
            </c:ext>
          </c:extLst>
        </c:ser>
        <c:ser>
          <c:idx val="2"/>
          <c:order val="2"/>
          <c:tx>
            <c:strRef>
              <c:f>RothCalculations!$M$2</c:f>
              <c:strCache>
                <c:ptCount val="1"/>
                <c:pt idx="0">
                  <c:v>Gain</c:v>
                </c:pt>
              </c:strCache>
            </c:strRef>
          </c:tx>
          <c:invertIfNegative val="0"/>
          <c:cat>
            <c:numRef>
              <c:f>RothCalculations!$J$3:$J$12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RothCalculations!$M$3:$M$12</c:f>
              <c:numCache>
                <c:formatCode>#,##0</c:formatCode>
                <c:ptCount val="10"/>
                <c:pt idx="0" formatCode="#,##0.00">
                  <c:v>1.0186340659856796E-10</c:v>
                </c:pt>
                <c:pt idx="1">
                  <c:v>5533.5000000003638</c:v>
                </c:pt>
                <c:pt idx="2">
                  <c:v>44248.316435506058</c:v>
                </c:pt>
                <c:pt idx="3">
                  <c:v>132795.2368885341</c:v>
                </c:pt>
                <c:pt idx="4">
                  <c:v>291406.07501239196</c:v>
                </c:pt>
                <c:pt idx="5">
                  <c:v>547196.04963187384</c:v>
                </c:pt>
                <c:pt idx="6">
                  <c:v>936377.85234731319</c:v>
                </c:pt>
                <c:pt idx="7">
                  <c:v>1507173.2181332996</c:v>
                </c:pt>
                <c:pt idx="8">
                  <c:v>2323639.9573043981</c:v>
                </c:pt>
                <c:pt idx="9">
                  <c:v>3470700.295564726</c:v>
                </c:pt>
              </c:numCache>
            </c:numRef>
          </c:val>
          <c:extLst>
            <c:ext xmlns:c16="http://schemas.microsoft.com/office/drawing/2014/chart" uri="{C3380CC4-5D6E-409C-BE32-E72D297353CC}">
              <c16:uniqueId val="{00000002-7E6C-45CF-9D1E-1662F421131F}"/>
            </c:ext>
          </c:extLst>
        </c:ser>
        <c:dLbls>
          <c:showLegendKey val="0"/>
          <c:showVal val="0"/>
          <c:showCatName val="0"/>
          <c:showSerName val="0"/>
          <c:showPercent val="0"/>
          <c:showBubbleSize val="0"/>
        </c:dLbls>
        <c:gapWidth val="150"/>
        <c:axId val="-1688328672"/>
        <c:axId val="-1688325952"/>
      </c:barChart>
      <c:catAx>
        <c:axId val="-1688328672"/>
        <c:scaling>
          <c:orientation val="minMax"/>
        </c:scaling>
        <c:delete val="0"/>
        <c:axPos val="b"/>
        <c:numFmt formatCode="General" sourceLinked="1"/>
        <c:majorTickMark val="out"/>
        <c:minorTickMark val="none"/>
        <c:tickLblPos val="nextTo"/>
        <c:crossAx val="-1688325952"/>
        <c:crosses val="autoZero"/>
        <c:auto val="1"/>
        <c:lblAlgn val="ctr"/>
        <c:lblOffset val="100"/>
        <c:noMultiLvlLbl val="0"/>
      </c:catAx>
      <c:valAx>
        <c:axId val="-1688325952"/>
        <c:scaling>
          <c:orientation val="minMax"/>
        </c:scaling>
        <c:delete val="0"/>
        <c:axPos val="l"/>
        <c:numFmt formatCode="#,##0" sourceLinked="1"/>
        <c:majorTickMark val="out"/>
        <c:minorTickMark val="none"/>
        <c:tickLblPos val="nextTo"/>
        <c:crossAx val="-1688328672"/>
        <c:crosses val="autoZero"/>
        <c:crossBetween val="between"/>
      </c:valAx>
    </c:plotArea>
    <c:legend>
      <c:legendPos val="r"/>
      <c:layout>
        <c:manualLayout>
          <c:xMode val="edge"/>
          <c:yMode val="edge"/>
          <c:x val="0.19033969941076029"/>
          <c:y val="6.9544164122341864E-2"/>
          <c:w val="0.75554742250216766"/>
          <c:h val="0.1036250468691413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000000000000003"/>
          <c:y val="0.26851851851851855"/>
          <c:w val="0.28888888888888897"/>
          <c:h val="0.48148148148148151"/>
        </c:manualLayout>
      </c:layout>
      <c:pieChart>
        <c:varyColors val="1"/>
        <c:ser>
          <c:idx val="0"/>
          <c:order val="0"/>
          <c:dLbls>
            <c:dLbl>
              <c:idx val="0"/>
              <c:spPr>
                <a:noFill/>
                <a:ln>
                  <a:noFill/>
                </a:ln>
                <a:effectLst/>
              </c:spPr>
              <c:txPr>
                <a:bodyPr wrap="square" lIns="38100" tIns="19050" rIns="38100" bIns="19050" anchor="ctr">
                  <a:spAutoFit/>
                </a:bodyPr>
                <a:lstStyle/>
                <a:p>
                  <a:pPr>
                    <a:defRPr>
                      <a:solidFill>
                        <a:schemeClr val="bg1"/>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0-6F9B-4E59-A180-D8BC9119CACC}"/>
                </c:ext>
              </c:extLst>
            </c:dLbl>
            <c:dLbl>
              <c:idx val="2"/>
              <c:spPr>
                <a:noFill/>
                <a:ln>
                  <a:noFill/>
                </a:ln>
                <a:effectLst/>
              </c:spPr>
              <c:txPr>
                <a:bodyPr wrap="square" lIns="38100" tIns="19050" rIns="38100" bIns="19050" anchor="ctr">
                  <a:spAutoFit/>
                </a:bodyPr>
                <a:lstStyle/>
                <a:p>
                  <a:pPr>
                    <a:defRPr>
                      <a:solidFill>
                        <a:schemeClr val="bg1"/>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6F9B-4E59-A180-D8BC9119CACC}"/>
                </c:ext>
              </c:extLst>
            </c:dLbl>
            <c:spPr>
              <a:noFill/>
              <a:ln>
                <a:noFill/>
              </a:ln>
              <a:effectLst/>
            </c:spPr>
            <c:dLblPos val="bestFit"/>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RothCalculations!$K$15:$K$17</c:f>
              <c:strCache>
                <c:ptCount val="3"/>
                <c:pt idx="0">
                  <c:v>Your</c:v>
                </c:pt>
                <c:pt idx="1">
                  <c:v>Employer's</c:v>
                </c:pt>
                <c:pt idx="2">
                  <c:v>Gain</c:v>
                </c:pt>
              </c:strCache>
            </c:strRef>
          </c:cat>
          <c:val>
            <c:numRef>
              <c:f>RothCalculations!$L$15:$L$17</c:f>
              <c:numCache>
                <c:formatCode>#,##0</c:formatCode>
                <c:ptCount val="3"/>
                <c:pt idx="0">
                  <c:v>1179010.5953414903</c:v>
                </c:pt>
                <c:pt idx="1">
                  <c:v>362772.49087430455</c:v>
                </c:pt>
                <c:pt idx="2">
                  <c:v>3470700.295564726</c:v>
                </c:pt>
              </c:numCache>
            </c:numRef>
          </c:val>
          <c:extLst>
            <c:ext xmlns:c16="http://schemas.microsoft.com/office/drawing/2014/chart" uri="{C3380CC4-5D6E-409C-BE32-E72D297353CC}">
              <c16:uniqueId val="{00000000-CB5B-4B80-9368-E47A52D312EC}"/>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26618547681549"/>
          <c:y val="5.1400554097404488E-2"/>
          <c:w val="0.82862270341207389"/>
          <c:h val="0.79822506561679785"/>
        </c:manualLayout>
      </c:layout>
      <c:lineChart>
        <c:grouping val="standard"/>
        <c:varyColors val="0"/>
        <c:ser>
          <c:idx val="1"/>
          <c:order val="0"/>
          <c:spPr>
            <a:ln>
              <a:solidFill>
                <a:srgbClr val="00B0F0"/>
              </a:solidFill>
            </a:ln>
          </c:spPr>
          <c:marker>
            <c:symbol val="none"/>
          </c:marker>
          <c:dLbls>
            <c:dLbl>
              <c:idx val="9"/>
              <c:layout>
                <c:manualLayout>
                  <c:x val="-4.0934697071154783E-2"/>
                  <c:y val="-6.7323678947495247E-2"/>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AC-4502-AF4B-2B7CCA886F9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RothCalculations!$N$3:$N$12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RothCalculations!$O$3:$O$12</c:f>
              <c:numCache>
                <c:formatCode>#,##0</c:formatCode>
                <c:ptCount val="10"/>
                <c:pt idx="0" formatCode="General">
                  <c:v>25500.000000000102</c:v>
                </c:pt>
                <c:pt idx="1">
                  <c:v>84351.450000000361</c:v>
                </c:pt>
                <c:pt idx="2">
                  <c:v>239641.10204664554</c:v>
                </c:pt>
                <c:pt idx="3">
                  <c:v>459394.02700431284</c:v>
                </c:pt>
                <c:pt idx="4">
                  <c:v>765678.37912304187</c:v>
                </c:pt>
                <c:pt idx="5">
                  <c:v>1187676.1947474093</c:v>
                </c:pt>
                <c:pt idx="6">
                  <c:v>1763926.3868049269</c:v>
                </c:pt>
                <c:pt idx="7">
                  <c:v>2545268.8728679325</c:v>
                </c:pt>
                <c:pt idx="8">
                  <c:v>3598708.2508309451</c:v>
                </c:pt>
                <c:pt idx="9">
                  <c:v>5012483.381780521</c:v>
                </c:pt>
              </c:numCache>
            </c:numRef>
          </c:val>
          <c:smooth val="0"/>
          <c:extLst>
            <c:ext xmlns:c16="http://schemas.microsoft.com/office/drawing/2014/chart" uri="{C3380CC4-5D6E-409C-BE32-E72D297353CC}">
              <c16:uniqueId val="{00000000-92AC-4502-AF4B-2B7CCA886F9A}"/>
            </c:ext>
          </c:extLst>
        </c:ser>
        <c:dLbls>
          <c:showLegendKey val="0"/>
          <c:showVal val="0"/>
          <c:showCatName val="0"/>
          <c:showSerName val="0"/>
          <c:showPercent val="0"/>
          <c:showBubbleSize val="0"/>
        </c:dLbls>
        <c:smooth val="0"/>
        <c:axId val="-1688323776"/>
        <c:axId val="-1688321600"/>
      </c:lineChart>
      <c:catAx>
        <c:axId val="-1688323776"/>
        <c:scaling>
          <c:orientation val="minMax"/>
        </c:scaling>
        <c:delete val="0"/>
        <c:axPos val="b"/>
        <c:numFmt formatCode="General" sourceLinked="1"/>
        <c:majorTickMark val="out"/>
        <c:minorTickMark val="none"/>
        <c:tickLblPos val="nextTo"/>
        <c:crossAx val="-1688321600"/>
        <c:crosses val="autoZero"/>
        <c:auto val="1"/>
        <c:lblAlgn val="ctr"/>
        <c:lblOffset val="100"/>
        <c:noMultiLvlLbl val="0"/>
      </c:catAx>
      <c:valAx>
        <c:axId val="-1688321600"/>
        <c:scaling>
          <c:orientation val="minMax"/>
        </c:scaling>
        <c:delete val="0"/>
        <c:axPos val="l"/>
        <c:numFmt formatCode="General" sourceLinked="0"/>
        <c:majorTickMark val="out"/>
        <c:minorTickMark val="none"/>
        <c:tickLblPos val="nextTo"/>
        <c:crossAx val="-1688323776"/>
        <c:crosses val="autoZero"/>
        <c:crossBetween val="between"/>
        <c:dispUnits>
          <c:builtInUnit val="thousands"/>
          <c:dispUnitsLbl>
            <c:layout>
              <c:manualLayout>
                <c:xMode val="edge"/>
                <c:yMode val="edge"/>
                <c:x val="0"/>
                <c:y val="0.31457507048022942"/>
              </c:manualLayout>
            </c:layout>
            <c:txPr>
              <a:bodyPr/>
              <a:lstStyle/>
              <a:p>
                <a:pPr>
                  <a:defRPr sz="800"/>
                </a:pPr>
                <a:endParaRPr lang="en-US"/>
              </a:p>
            </c:txPr>
          </c:dispUnitsLbl>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145871220392"/>
          <c:y val="8.2190583319942168E-2"/>
          <c:w val="0.74637451617096418"/>
          <c:h val="0.76825368257539262"/>
        </c:manualLayout>
      </c:layout>
      <c:barChart>
        <c:barDir val="col"/>
        <c:grouping val="clustered"/>
        <c:varyColors val="0"/>
        <c:ser>
          <c:idx val="0"/>
          <c:order val="0"/>
          <c:tx>
            <c:strRef>
              <c:f>MaxPreTaxCalculations!$K$2</c:f>
              <c:strCache>
                <c:ptCount val="1"/>
                <c:pt idx="0">
                  <c:v>Your</c:v>
                </c:pt>
              </c:strCache>
            </c:strRef>
          </c:tx>
          <c:invertIfNegative val="0"/>
          <c:cat>
            <c:numRef>
              <c:f>MaxPreTaxCalculations!$J$3:$J$12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MaxPreTaxCalculations!$K$3:$K$12</c:f>
              <c:numCache>
                <c:formatCode>#,##0</c:formatCode>
                <c:ptCount val="10"/>
                <c:pt idx="0">
                  <c:v>6000</c:v>
                </c:pt>
                <c:pt idx="1">
                  <c:v>18545.400000000001</c:v>
                </c:pt>
                <c:pt idx="2">
                  <c:v>45974.773084974004</c:v>
                </c:pt>
                <c:pt idx="3">
                  <c:v>76846.774144889117</c:v>
                </c:pt>
                <c:pt idx="4">
                  <c:v>111593.48332015291</c:v>
                </c:pt>
                <c:pt idx="5">
                  <c:v>150701.21061542013</c:v>
                </c:pt>
                <c:pt idx="6">
                  <c:v>194717.30222532086</c:v>
                </c:pt>
                <c:pt idx="7">
                  <c:v>244257.8011140312</c:v>
                </c:pt>
                <c:pt idx="8">
                  <c:v>300016.0690650699</c:v>
                </c:pt>
                <c:pt idx="9">
                  <c:v>362772.49087430455</c:v>
                </c:pt>
              </c:numCache>
            </c:numRef>
          </c:val>
          <c:extLst>
            <c:ext xmlns:c16="http://schemas.microsoft.com/office/drawing/2014/chart" uri="{C3380CC4-5D6E-409C-BE32-E72D297353CC}">
              <c16:uniqueId val="{00000000-4317-41F2-8DC6-5E790EA08BCE}"/>
            </c:ext>
          </c:extLst>
        </c:ser>
        <c:ser>
          <c:idx val="1"/>
          <c:order val="1"/>
          <c:tx>
            <c:strRef>
              <c:f>MaxPreTaxCalculations!$L$2</c:f>
              <c:strCache>
                <c:ptCount val="1"/>
                <c:pt idx="0">
                  <c:v>Employer's</c:v>
                </c:pt>
              </c:strCache>
            </c:strRef>
          </c:tx>
          <c:invertIfNegative val="0"/>
          <c:cat>
            <c:numRef>
              <c:f>MaxPreTaxCalculations!$J$3:$J$12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MaxPreTaxCalculations!$L$3:$L$12</c:f>
              <c:numCache>
                <c:formatCode>#,##0</c:formatCode>
                <c:ptCount val="10"/>
                <c:pt idx="0">
                  <c:v>3000</c:v>
                </c:pt>
                <c:pt idx="1">
                  <c:v>9272.7000000000007</c:v>
                </c:pt>
                <c:pt idx="2">
                  <c:v>22987.386542487002</c:v>
                </c:pt>
                <c:pt idx="3">
                  <c:v>38423.387072444559</c:v>
                </c:pt>
                <c:pt idx="4">
                  <c:v>55796.741660076455</c:v>
                </c:pt>
                <c:pt idx="5">
                  <c:v>75350.605307710066</c:v>
                </c:pt>
                <c:pt idx="6">
                  <c:v>97358.651112660431</c:v>
                </c:pt>
                <c:pt idx="7">
                  <c:v>122128.9005570156</c:v>
                </c:pt>
                <c:pt idx="8">
                  <c:v>150008.03453253495</c:v>
                </c:pt>
                <c:pt idx="9">
                  <c:v>181386.24543715228</c:v>
                </c:pt>
              </c:numCache>
            </c:numRef>
          </c:val>
          <c:extLst>
            <c:ext xmlns:c16="http://schemas.microsoft.com/office/drawing/2014/chart" uri="{C3380CC4-5D6E-409C-BE32-E72D297353CC}">
              <c16:uniqueId val="{00000001-4317-41F2-8DC6-5E790EA08BCE}"/>
            </c:ext>
          </c:extLst>
        </c:ser>
        <c:ser>
          <c:idx val="2"/>
          <c:order val="2"/>
          <c:tx>
            <c:strRef>
              <c:f>MaxPreTaxCalculations!$M$2</c:f>
              <c:strCache>
                <c:ptCount val="1"/>
                <c:pt idx="0">
                  <c:v>Gain</c:v>
                </c:pt>
              </c:strCache>
            </c:strRef>
          </c:tx>
          <c:invertIfNegative val="0"/>
          <c:cat>
            <c:numRef>
              <c:f>MaxPreTaxCalculations!$J$3:$J$12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MaxPreTaxCalculations!$M$3:$M$12</c:f>
              <c:numCache>
                <c:formatCode>#,##0</c:formatCode>
                <c:ptCount val="10"/>
                <c:pt idx="0" formatCode="#,##0.00">
                  <c:v>8.7311491370201111E-11</c:v>
                </c:pt>
                <c:pt idx="1">
                  <c:v>1953.0000000003201</c:v>
                </c:pt>
                <c:pt idx="2">
                  <c:v>15617.052859590884</c:v>
                </c:pt>
                <c:pt idx="3">
                  <c:v>46868.907137130591</c:v>
                </c:pt>
                <c:pt idx="4">
                  <c:v>102849.20294555157</c:v>
                </c:pt>
                <c:pt idx="5">
                  <c:v>193128.01751713429</c:v>
                </c:pt>
                <c:pt idx="6">
                  <c:v>330486.30082846689</c:v>
                </c:pt>
                <c:pt idx="7">
                  <c:v>531943.48875293427</c:v>
                </c:pt>
                <c:pt idx="8">
                  <c:v>820108.22022508865</c:v>
                </c:pt>
                <c:pt idx="9">
                  <c:v>1224953.0454934419</c:v>
                </c:pt>
              </c:numCache>
            </c:numRef>
          </c:val>
          <c:extLst>
            <c:ext xmlns:c16="http://schemas.microsoft.com/office/drawing/2014/chart" uri="{C3380CC4-5D6E-409C-BE32-E72D297353CC}">
              <c16:uniqueId val="{00000002-4317-41F2-8DC6-5E790EA08BCE}"/>
            </c:ext>
          </c:extLst>
        </c:ser>
        <c:dLbls>
          <c:showLegendKey val="0"/>
          <c:showVal val="0"/>
          <c:showCatName val="0"/>
          <c:showSerName val="0"/>
          <c:showPercent val="0"/>
          <c:showBubbleSize val="0"/>
        </c:dLbls>
        <c:gapWidth val="150"/>
        <c:axId val="-1688328672"/>
        <c:axId val="-1688325952"/>
      </c:barChart>
      <c:catAx>
        <c:axId val="-1688328672"/>
        <c:scaling>
          <c:orientation val="minMax"/>
        </c:scaling>
        <c:delete val="0"/>
        <c:axPos val="b"/>
        <c:numFmt formatCode="General" sourceLinked="1"/>
        <c:majorTickMark val="out"/>
        <c:minorTickMark val="none"/>
        <c:tickLblPos val="nextTo"/>
        <c:crossAx val="-1688325952"/>
        <c:crosses val="autoZero"/>
        <c:auto val="1"/>
        <c:lblAlgn val="ctr"/>
        <c:lblOffset val="100"/>
        <c:noMultiLvlLbl val="0"/>
      </c:catAx>
      <c:valAx>
        <c:axId val="-1688325952"/>
        <c:scaling>
          <c:orientation val="minMax"/>
        </c:scaling>
        <c:delete val="0"/>
        <c:axPos val="l"/>
        <c:numFmt formatCode="#,##0" sourceLinked="1"/>
        <c:majorTickMark val="out"/>
        <c:minorTickMark val="none"/>
        <c:tickLblPos val="nextTo"/>
        <c:crossAx val="-1688328672"/>
        <c:crosses val="autoZero"/>
        <c:crossBetween val="between"/>
      </c:valAx>
    </c:plotArea>
    <c:legend>
      <c:legendPos val="r"/>
      <c:layout>
        <c:manualLayout>
          <c:xMode val="edge"/>
          <c:yMode val="edge"/>
          <c:x val="0.19033969941076029"/>
          <c:y val="6.9544164122341864E-2"/>
          <c:w val="0.75554742250216766"/>
          <c:h val="0.1036250468691413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000000000000003"/>
          <c:y val="0.26851851851851855"/>
          <c:w val="0.28888888888888897"/>
          <c:h val="0.48148148148148151"/>
        </c:manualLayout>
      </c:layout>
      <c:pieChart>
        <c:varyColors val="1"/>
        <c:ser>
          <c:idx val="0"/>
          <c:order val="0"/>
          <c:dLbls>
            <c:spPr>
              <a:noFill/>
              <a:ln>
                <a:noFill/>
              </a:ln>
              <a:effectLst/>
            </c:sp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MaxPreTaxCalculations!$K$15:$K$17</c:f>
              <c:strCache>
                <c:ptCount val="3"/>
                <c:pt idx="0">
                  <c:v>Your</c:v>
                </c:pt>
                <c:pt idx="1">
                  <c:v>Employer's</c:v>
                </c:pt>
                <c:pt idx="2">
                  <c:v>Gain</c:v>
                </c:pt>
              </c:strCache>
            </c:strRef>
          </c:cat>
          <c:val>
            <c:numRef>
              <c:f>MaxPreTaxCalculations!$L$15:$L$17</c:f>
              <c:numCache>
                <c:formatCode>#,##0</c:formatCode>
                <c:ptCount val="3"/>
                <c:pt idx="0">
                  <c:v>362772.49087430455</c:v>
                </c:pt>
                <c:pt idx="1">
                  <c:v>181386.24543715228</c:v>
                </c:pt>
                <c:pt idx="2">
                  <c:v>1224953.0454934419</c:v>
                </c:pt>
              </c:numCache>
            </c:numRef>
          </c:val>
          <c:extLst>
            <c:ext xmlns:c16="http://schemas.microsoft.com/office/drawing/2014/chart" uri="{C3380CC4-5D6E-409C-BE32-E72D297353CC}">
              <c16:uniqueId val="{00000000-404A-45B4-918E-8A6608000DB2}"/>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26618547681549"/>
          <c:y val="5.1400554097404488E-2"/>
          <c:w val="0.82862270341207389"/>
          <c:h val="0.79822506561679785"/>
        </c:manualLayout>
      </c:layout>
      <c:lineChart>
        <c:grouping val="standard"/>
        <c:varyColors val="0"/>
        <c:ser>
          <c:idx val="0"/>
          <c:order val="0"/>
          <c:marker>
            <c:symbol val="none"/>
          </c:marker>
          <c:cat>
            <c:numRef>
              <c:f>MaxPreTaxCalculations!$N$3:$N$12</c:f>
              <c:numCache>
                <c:formatCode>General</c:formatCode>
                <c:ptCount val="10"/>
                <c:pt idx="0">
                  <c:v>1</c:v>
                </c:pt>
                <c:pt idx="1">
                  <c:v>3</c:v>
                </c:pt>
                <c:pt idx="2">
                  <c:v>7</c:v>
                </c:pt>
                <c:pt idx="3">
                  <c:v>11</c:v>
                </c:pt>
                <c:pt idx="4">
                  <c:v>15</c:v>
                </c:pt>
                <c:pt idx="5">
                  <c:v>19</c:v>
                </c:pt>
                <c:pt idx="6">
                  <c:v>23</c:v>
                </c:pt>
                <c:pt idx="7">
                  <c:v>27</c:v>
                </c:pt>
                <c:pt idx="8">
                  <c:v>31</c:v>
                </c:pt>
                <c:pt idx="9">
                  <c:v>35</c:v>
                </c:pt>
              </c:numCache>
            </c:numRef>
          </c:cat>
          <c:val>
            <c:numRef>
              <c:f>MaxPreTaxCalculations!$O$3:$O$12</c:f>
              <c:numCache>
                <c:formatCode>#,##0</c:formatCode>
                <c:ptCount val="10"/>
                <c:pt idx="0" formatCode="General">
                  <c:v>9000.0000000000873</c:v>
                </c:pt>
                <c:pt idx="1">
                  <c:v>29771.100000000322</c:v>
                </c:pt>
                <c:pt idx="2">
                  <c:v>84579.212487051889</c:v>
                </c:pt>
                <c:pt idx="3">
                  <c:v>162139.06835446425</c:v>
                </c:pt>
                <c:pt idx="4">
                  <c:v>270239.42792578094</c:v>
                </c:pt>
                <c:pt idx="5">
                  <c:v>419179.83344026445</c:v>
                </c:pt>
                <c:pt idx="6">
                  <c:v>622562.25416644814</c:v>
                </c:pt>
                <c:pt idx="7">
                  <c:v>898330.19042398105</c:v>
                </c:pt>
                <c:pt idx="8">
                  <c:v>1270132.3238226934</c:v>
                </c:pt>
                <c:pt idx="9">
                  <c:v>1769111.7818048988</c:v>
                </c:pt>
              </c:numCache>
            </c:numRef>
          </c:val>
          <c:smooth val="0"/>
          <c:extLst>
            <c:ext xmlns:c16="http://schemas.microsoft.com/office/drawing/2014/chart" uri="{C3380CC4-5D6E-409C-BE32-E72D297353CC}">
              <c16:uniqueId val="{00000000-C600-49CB-B9C1-C513ED9EA4FC}"/>
            </c:ext>
          </c:extLst>
        </c:ser>
        <c:dLbls>
          <c:showLegendKey val="0"/>
          <c:showVal val="0"/>
          <c:showCatName val="0"/>
          <c:showSerName val="0"/>
          <c:showPercent val="0"/>
          <c:showBubbleSize val="0"/>
        </c:dLbls>
        <c:smooth val="0"/>
        <c:axId val="-1688323776"/>
        <c:axId val="-1688321600"/>
      </c:lineChart>
      <c:catAx>
        <c:axId val="-1688323776"/>
        <c:scaling>
          <c:orientation val="minMax"/>
        </c:scaling>
        <c:delete val="0"/>
        <c:axPos val="b"/>
        <c:numFmt formatCode="General" sourceLinked="1"/>
        <c:majorTickMark val="out"/>
        <c:minorTickMark val="none"/>
        <c:tickLblPos val="nextTo"/>
        <c:crossAx val="-1688321600"/>
        <c:crosses val="autoZero"/>
        <c:auto val="1"/>
        <c:lblAlgn val="ctr"/>
        <c:lblOffset val="100"/>
        <c:noMultiLvlLbl val="0"/>
      </c:catAx>
      <c:valAx>
        <c:axId val="-1688321600"/>
        <c:scaling>
          <c:orientation val="minMax"/>
        </c:scaling>
        <c:delete val="0"/>
        <c:axPos val="l"/>
        <c:numFmt formatCode="General" sourceLinked="1"/>
        <c:majorTickMark val="out"/>
        <c:minorTickMark val="none"/>
        <c:tickLblPos val="nextTo"/>
        <c:crossAx val="-168832377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8</xdr:row>
      <xdr:rowOff>0</xdr:rowOff>
    </xdr:from>
    <xdr:to>
      <xdr:col>17</xdr:col>
      <xdr:colOff>76200</xdr:colOff>
      <xdr:row>26</xdr:row>
      <xdr:rowOff>51162</xdr:rowOff>
    </xdr:to>
    <xdr:pic>
      <xdr:nvPicPr>
        <xdr:cNvPr id="2" name="Picture 1" descr="Stock price chart comparing QQQ and VOO since 20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0" y="1885950"/>
          <a:ext cx="6667500" cy="3670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xdr:colOff>
      <xdr:row>17</xdr:row>
      <xdr:rowOff>9524</xdr:rowOff>
    </xdr:from>
    <xdr:to>
      <xdr:col>39</xdr:col>
      <xdr:colOff>57150</xdr:colOff>
      <xdr:row>28</xdr:row>
      <xdr:rowOff>76199</xdr:rowOff>
    </xdr:to>
    <xdr:graphicFrame macro="">
      <xdr:nvGraphicFramePr>
        <xdr:cNvPr id="2"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34</xdr:row>
      <xdr:rowOff>1399</xdr:rowOff>
    </xdr:from>
    <xdr:to>
      <xdr:col>39</xdr:col>
      <xdr:colOff>74928</xdr:colOff>
      <xdr:row>45</xdr:row>
      <xdr:rowOff>85724</xdr:rowOff>
    </xdr:to>
    <xdr:graphicFrame macro="">
      <xdr:nvGraphicFramePr>
        <xdr:cNvPr id="3" name="Chart 2">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50</xdr:row>
      <xdr:rowOff>39498</xdr:rowOff>
    </xdr:from>
    <xdr:to>
      <xdr:col>39</xdr:col>
      <xdr:colOff>74928</xdr:colOff>
      <xdr:row>61</xdr:row>
      <xdr:rowOff>123823</xdr:rowOff>
    </xdr:to>
    <xdr:graphicFrame macro="">
      <xdr:nvGraphicFramePr>
        <xdr:cNvPr id="4" name="Chart 3">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95251</xdr:colOff>
      <xdr:row>3</xdr:row>
      <xdr:rowOff>161925</xdr:rowOff>
    </xdr:from>
    <xdr:to>
      <xdr:col>24</xdr:col>
      <xdr:colOff>1</xdr:colOff>
      <xdr:row>26</xdr:row>
      <xdr:rowOff>161925</xdr:rowOff>
    </xdr:to>
    <xdr:sp macro="" textlink="">
      <xdr:nvSpPr>
        <xdr:cNvPr id="2" name="TextBox 1"/>
        <xdr:cNvSpPr txBox="1"/>
      </xdr:nvSpPr>
      <xdr:spPr>
        <a:xfrm>
          <a:off x="6972301" y="866775"/>
          <a:ext cx="3562350" cy="41529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lang="en-US" sz="1600" b="1" i="1"/>
            <a:t>QUESTIONS:</a:t>
          </a:r>
        </a:p>
        <a:p>
          <a:endParaRPr lang="en-US" sz="1100" b="1" i="1"/>
        </a:p>
        <a:p>
          <a:r>
            <a:rPr lang="en-US" sz="1100" b="1" i="1"/>
            <a:t>(1) Is 6% self contribution enough for retirement?</a:t>
          </a:r>
        </a:p>
        <a:p>
          <a:r>
            <a:rPr lang="en-US" sz="1100" b="1" i="1"/>
            <a:t> </a:t>
          </a:r>
        </a:p>
        <a:p>
          <a:r>
            <a:rPr lang="en-US" sz="1100" b="1" i="1"/>
            <a:t>(2) What if you always sa</a:t>
          </a:r>
          <a:r>
            <a:rPr lang="en-US" altLang="zh-CN" sz="1100" b="1" i="1"/>
            <a:t>v</a:t>
          </a:r>
          <a:r>
            <a:rPr lang="en-US" sz="1100" b="1" i="1"/>
            <a:t>e up to pre-tax limit</a:t>
          </a:r>
          <a:r>
            <a:rPr lang="en-US" sz="1100" b="1" i="1" baseline="0"/>
            <a:t> each year?</a:t>
          </a:r>
          <a:endParaRPr lang="en-US" sz="1100" b="1" i="1"/>
        </a:p>
        <a:p>
          <a:endParaRPr lang="en-US" sz="1100" b="1" i="1"/>
        </a:p>
        <a:p>
          <a:r>
            <a:rPr lang="en-US" sz="1100" b="1" i="1"/>
            <a:t>(3)</a:t>
          </a:r>
          <a:r>
            <a:rPr lang="en-US" sz="1100" b="1" i="1" baseline="0"/>
            <a:t> What if the annual rate of return assumption is a different number?</a:t>
          </a:r>
        </a:p>
        <a:p>
          <a:endParaRPr lang="en-US" sz="1100" b="1" i="1" baseline="0"/>
        </a:p>
        <a:p>
          <a:r>
            <a:rPr lang="en-US" sz="1100" b="1" i="1" baseline="0"/>
            <a:t>(4) What if I retire at age </a:t>
          </a:r>
          <a:r>
            <a:rPr lang="en-US" sz="1100" b="1" i="1" baseline="0">
              <a:solidFill>
                <a:sysClr val="windowText" lastClr="000000"/>
              </a:solidFill>
            </a:rPr>
            <a:t>55/60/65 but </a:t>
          </a:r>
          <a:r>
            <a:rPr lang="en-US" sz="1100" b="1" i="1" baseline="0">
              <a:solidFill>
                <a:srgbClr val="C00000"/>
              </a:solidFill>
            </a:rPr>
            <a:t>defer distributions to RMD age of 72? How could I fill the gap?</a:t>
          </a:r>
        </a:p>
        <a:p>
          <a:endParaRPr lang="en-US" sz="1100" b="1" i="1" baseline="0"/>
        </a:p>
        <a:p>
          <a:r>
            <a:rPr lang="en-US" sz="1100" b="1" i="1" baseline="0"/>
            <a:t>(5) Withdrawing at age 66 or delaying to age 72, </a:t>
          </a:r>
          <a:br>
            <a:rPr lang="en-US" sz="1100" b="1" i="1" baseline="0"/>
          </a:br>
          <a:r>
            <a:rPr lang="en-US" sz="1100" b="1" i="1" baseline="0">
              <a:solidFill>
                <a:srgbClr val="C00000"/>
              </a:solidFill>
            </a:rPr>
            <a:t>do you see your future income tax rate lower than your 2020 tax bracket?</a:t>
          </a:r>
        </a:p>
        <a:p>
          <a:endParaRPr lang="en-US" sz="1100" b="1" i="1" baseline="0">
            <a:solidFill>
              <a:srgbClr val="C00000"/>
            </a:solidFill>
          </a:endParaRPr>
        </a:p>
        <a:p>
          <a:r>
            <a:rPr lang="en-US" sz="1100" b="1" i="1" baseline="0">
              <a:solidFill>
                <a:sysClr val="windowText" lastClr="000000"/>
              </a:solidFill>
            </a:rPr>
            <a:t>(6) </a:t>
          </a:r>
          <a:r>
            <a:rPr lang="en-US" sz="1100" b="1" i="1" baseline="0">
              <a:solidFill>
                <a:srgbClr val="C00000"/>
              </a:solidFill>
            </a:rPr>
            <a:t>What is your income and tax rate if you live to age 80? This is why you seniors deonate their IRA to Charity.</a:t>
          </a:r>
        </a:p>
        <a:p>
          <a:endParaRPr lang="en-US" sz="1100" b="1" i="1" baseline="0">
            <a:solidFill>
              <a:sysClr val="windowText" lastClr="000000"/>
            </a:solidFill>
          </a:endParaRPr>
        </a:p>
        <a:p>
          <a:r>
            <a:rPr lang="en-US" sz="1100" b="1" i="1" baseline="0">
              <a:solidFill>
                <a:sysClr val="windowText" lastClr="000000"/>
              </a:solidFill>
            </a:rPr>
            <a:t>(7) Baby Boomer's real life example</a:t>
          </a:r>
        </a:p>
        <a:p>
          <a:endParaRPr lang="en-US" sz="1100" b="1" i="1" baseline="0">
            <a:solidFill>
              <a:sysClr val="windowText" lastClr="000000"/>
            </a:solidFill>
          </a:endParaRPr>
        </a:p>
        <a:p>
          <a:r>
            <a:rPr lang="en-US" sz="1100" b="1" i="1" baseline="0">
              <a:solidFill>
                <a:sysClr val="windowText" lastClr="000000"/>
              </a:solidFill>
            </a:rPr>
            <a:t>(8) What should you do differently?</a:t>
          </a:r>
          <a:endParaRPr lang="en-US" sz="1100" b="1" i="1">
            <a:solidFill>
              <a:sysClr val="windowText" lastClr="000000"/>
            </a:solidFill>
          </a:endParaRPr>
        </a:p>
      </xdr:txBody>
    </xdr:sp>
    <xdr:clientData/>
  </xdr:twoCellAnchor>
  <xdr:twoCellAnchor>
    <xdr:from>
      <xdr:col>16</xdr:col>
      <xdr:colOff>38100</xdr:colOff>
      <xdr:row>1</xdr:row>
      <xdr:rowOff>152400</xdr:rowOff>
    </xdr:from>
    <xdr:to>
      <xdr:col>17</xdr:col>
      <xdr:colOff>352425</xdr:colOff>
      <xdr:row>3</xdr:row>
      <xdr:rowOff>28575</xdr:rowOff>
    </xdr:to>
    <xdr:sp macro="" textlink="">
      <xdr:nvSpPr>
        <xdr:cNvPr id="3" name="Left Arrow 2"/>
        <xdr:cNvSpPr/>
      </xdr:nvSpPr>
      <xdr:spPr>
        <a:xfrm>
          <a:off x="6457950" y="514350"/>
          <a:ext cx="409575" cy="21907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2</xdr:colOff>
      <xdr:row>17</xdr:row>
      <xdr:rowOff>9524</xdr:rowOff>
    </xdr:from>
    <xdr:to>
      <xdr:col>39</xdr:col>
      <xdr:colOff>57150</xdr:colOff>
      <xdr:row>28</xdr:row>
      <xdr:rowOff>76199</xdr:rowOff>
    </xdr:to>
    <xdr:graphicFrame macro="">
      <xdr:nvGraphicFramePr>
        <xdr:cNvPr id="2"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34</xdr:row>
      <xdr:rowOff>1399</xdr:rowOff>
    </xdr:from>
    <xdr:to>
      <xdr:col>39</xdr:col>
      <xdr:colOff>74928</xdr:colOff>
      <xdr:row>45</xdr:row>
      <xdr:rowOff>85724</xdr:rowOff>
    </xdr:to>
    <xdr:graphicFrame macro="">
      <xdr:nvGraphicFramePr>
        <xdr:cNvPr id="3" name="Chart 2">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50</xdr:row>
      <xdr:rowOff>39498</xdr:rowOff>
    </xdr:from>
    <xdr:to>
      <xdr:col>39</xdr:col>
      <xdr:colOff>74928</xdr:colOff>
      <xdr:row>61</xdr:row>
      <xdr:rowOff>123823</xdr:rowOff>
    </xdr:to>
    <xdr:graphicFrame macro="">
      <xdr:nvGraphicFramePr>
        <xdr:cNvPr id="4" name="Chart 3">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23</xdr:col>
      <xdr:colOff>34290</xdr:colOff>
      <xdr:row>7</xdr:row>
      <xdr:rowOff>123825</xdr:rowOff>
    </xdr:from>
    <xdr:to>
      <xdr:col>32</xdr:col>
      <xdr:colOff>41910</xdr:colOff>
      <xdr:row>38</xdr:row>
      <xdr:rowOff>75141</xdr:rowOff>
    </xdr:to>
    <xdr:sp macro="" textlink="">
      <xdr:nvSpPr>
        <xdr:cNvPr id="2" name="TextBox 1"/>
        <xdr:cNvSpPr txBox="1"/>
      </xdr:nvSpPr>
      <xdr:spPr>
        <a:xfrm>
          <a:off x="9140190" y="1800225"/>
          <a:ext cx="3246120" cy="556154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lang="en-US" sz="1600" b="1"/>
            <a:t>QUESTIONS:</a:t>
          </a:r>
        </a:p>
        <a:p>
          <a:endParaRPr lang="en-US" sz="1100" b="1"/>
        </a:p>
        <a:p>
          <a:pPr marL="0" marR="0" lvl="0" indent="0" defTabSz="914400" eaLnBrk="1" fontAlgn="auto" latinLnBrk="0" hangingPunct="1">
            <a:lnSpc>
              <a:spcPct val="100000"/>
            </a:lnSpc>
            <a:spcBef>
              <a:spcPts val="0"/>
            </a:spcBef>
            <a:spcAft>
              <a:spcPts val="0"/>
            </a:spcAft>
            <a:buClrTx/>
            <a:buSzTx/>
            <a:buFontTx/>
            <a:buNone/>
            <a:tabLst/>
            <a:defRPr/>
          </a:pPr>
          <a:r>
            <a:rPr lang="en-US" sz="1100" b="1" i="1" baseline="0">
              <a:solidFill>
                <a:schemeClr val="dk1"/>
              </a:solidFill>
              <a:effectLst/>
              <a:latin typeface="+mn-lt"/>
              <a:ea typeface="+mn-ea"/>
              <a:cs typeface="+mn-cs"/>
            </a:rPr>
            <a:t>(1) Do you see the huge tax benefit after retirement?</a:t>
          </a:r>
          <a:endParaRPr lang="en-US" b="1" i="1">
            <a:effectLst/>
          </a:endParaRPr>
        </a:p>
        <a:p>
          <a:endParaRPr lang="en-US" sz="1100" b="1" i="1"/>
        </a:p>
        <a:p>
          <a:pPr marL="0" marR="0" lvl="0" indent="0" defTabSz="914400" eaLnBrk="1" fontAlgn="auto" latinLnBrk="0" hangingPunct="1">
            <a:lnSpc>
              <a:spcPct val="100000"/>
            </a:lnSpc>
            <a:spcBef>
              <a:spcPts val="0"/>
            </a:spcBef>
            <a:spcAft>
              <a:spcPts val="0"/>
            </a:spcAft>
            <a:buClrTx/>
            <a:buSzTx/>
            <a:buFontTx/>
            <a:buNone/>
            <a:tabLst/>
            <a:defRPr/>
          </a:pPr>
          <a:r>
            <a:rPr lang="en-US" sz="1100" b="1" i="1"/>
            <a:t>(2)</a:t>
          </a:r>
          <a:r>
            <a:rPr lang="en-US" sz="1100" b="1" i="1" baseline="0"/>
            <a:t> What if you early retire at age 55 and postpone withdrawal to age 70</a:t>
          </a:r>
          <a:r>
            <a:rPr lang="en-US" sz="1100" b="1" i="1" baseline="0">
              <a:solidFill>
                <a:schemeClr val="dk1"/>
              </a:solidFill>
              <a:effectLst/>
              <a:latin typeface="+mn-lt"/>
              <a:ea typeface="+mn-ea"/>
              <a:cs typeface="+mn-cs"/>
            </a:rPr>
            <a:t>? Arrange deferred comp if available.</a:t>
          </a:r>
          <a:endParaRPr lang="en-US" b="1" i="1">
            <a:effectLst/>
          </a:endParaRPr>
        </a:p>
        <a:p>
          <a:endParaRPr lang="en-US" sz="1100" b="1" i="1" baseline="0"/>
        </a:p>
        <a:p>
          <a:r>
            <a:rPr lang="en-US" sz="1100" b="1" i="1" baseline="0"/>
            <a:t>(3) What if I save more than $19,500 to Roth? Recommend 30% after-tax contribution while Single, and reduce it as income rises and family conditions change</a:t>
          </a:r>
        </a:p>
        <a:p>
          <a:endParaRPr lang="en-US" sz="1100" b="1" i="1" baseline="0"/>
        </a:p>
        <a:p>
          <a:r>
            <a:rPr lang="en-US" sz="1100" b="1" i="1" baseline="0"/>
            <a:t>(4) Given no RMD for Roth at age 72, can I draw Roth at any amount at any time after age 59.5 ?</a:t>
          </a:r>
        </a:p>
        <a:p>
          <a:endParaRPr lang="en-US" sz="1100" b="1" i="1" baseline="0"/>
        </a:p>
        <a:p>
          <a:r>
            <a:rPr lang="en-US" sz="1100" b="1" i="1" baseline="0"/>
            <a:t>(5) What are the potential restrictions if I put too much into ROTH? What is the 5 Year rule? What if I need a downpay to buy a house before age 59.5? Loan to myself?</a:t>
          </a:r>
        </a:p>
        <a:p>
          <a:endParaRPr lang="en-US" sz="1100" b="1" i="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i="1" baseline="0">
              <a:solidFill>
                <a:schemeClr val="dk1"/>
              </a:solidFill>
              <a:effectLst/>
              <a:latin typeface="+mn-lt"/>
              <a:ea typeface="+mn-ea"/>
              <a:cs typeface="+mn-cs"/>
            </a:rPr>
            <a:t>(6) What is a Rich Dad/Mom strategy for Millennial ROTH in order to optimize family wealth planning?</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baseline="0">
              <a:solidFill>
                <a:schemeClr val="dk1"/>
              </a:solidFill>
              <a:effectLst/>
              <a:latin typeface="+mn-lt"/>
              <a:ea typeface="+mn-ea"/>
              <a:cs typeface="+mn-cs"/>
            </a:rPr>
            <a:t>(7) What is the Estate Tax exemption limit per person? $11M per person until 2025 or 2026?</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baseline="0">
              <a:solidFill>
                <a:schemeClr val="dk1"/>
              </a:solidFill>
              <a:effectLst/>
              <a:latin typeface="+mn-lt"/>
              <a:ea typeface="+mn-ea"/>
              <a:cs typeface="+mn-cs"/>
            </a:rPr>
            <a:t>(8) What happens to unused balance of ROTH IRA at death? How about unused Traditional IRA at death?</a:t>
          </a:r>
          <a:endParaRPr lang="en-US" b="1" i="1">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1" i="1">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99060</xdr:colOff>
      <xdr:row>2</xdr:row>
      <xdr:rowOff>22860</xdr:rowOff>
    </xdr:from>
    <xdr:to>
      <xdr:col>7</xdr:col>
      <xdr:colOff>99060</xdr:colOff>
      <xdr:row>9</xdr:row>
      <xdr:rowOff>373380</xdr:rowOff>
    </xdr:to>
    <xdr:sp macro="" textlink="">
      <xdr:nvSpPr>
        <xdr:cNvPr id="2" name="TextBox 1"/>
        <xdr:cNvSpPr txBox="1"/>
      </xdr:nvSpPr>
      <xdr:spPr>
        <a:xfrm>
          <a:off x="5966460" y="205740"/>
          <a:ext cx="3048000" cy="28956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lang="en-US" sz="1600" b="1"/>
            <a:t>QUESTIONS:</a:t>
          </a:r>
        </a:p>
        <a:p>
          <a:endParaRPr lang="en-US" sz="1100" b="1"/>
        </a:p>
        <a:p>
          <a:r>
            <a:rPr lang="en-US" sz="1100" b="0"/>
            <a:t>(</a:t>
          </a:r>
          <a:r>
            <a:rPr lang="en-US" sz="1100" b="1" i="1"/>
            <a:t>1)</a:t>
          </a:r>
          <a:r>
            <a:rPr lang="en-US" sz="1100" b="1" i="1" baseline="0"/>
            <a:t> What are regular Roth Annual Limit and Phase Out regulations for high income taxpayers?</a:t>
          </a:r>
        </a:p>
        <a:p>
          <a:endParaRPr lang="en-US" sz="1100" b="1" i="1" baseline="0"/>
        </a:p>
        <a:p>
          <a:r>
            <a:rPr lang="en-US" sz="1100" b="1" i="1" baseline="0"/>
            <a:t>(2) What is "Back Door Roth Conversion"?</a:t>
          </a:r>
        </a:p>
        <a:p>
          <a:endParaRPr lang="en-US" sz="1100" b="1" i="1" baseline="0">
            <a:solidFill>
              <a:srgbClr val="C00000"/>
            </a:solidFill>
          </a:endParaRPr>
        </a:p>
        <a:p>
          <a:r>
            <a:rPr lang="en-US" sz="1100" b="1" i="1" baseline="0">
              <a:solidFill>
                <a:sysClr val="windowText" lastClr="000000"/>
              </a:solidFill>
            </a:rPr>
            <a:t>(3) </a:t>
          </a:r>
          <a:r>
            <a:rPr lang="en-US" sz="1100" b="1" i="1" baseline="0">
              <a:solidFill>
                <a:srgbClr val="C00000"/>
              </a:solidFill>
            </a:rPr>
            <a:t>What shall I clarify with my HR before saving to Post-Tax 401(k)? </a:t>
          </a:r>
        </a:p>
        <a:p>
          <a:endParaRPr lang="en-US" sz="1100" b="1" i="1" baseline="0">
            <a:solidFill>
              <a:sysClr val="windowText" lastClr="000000"/>
            </a:solidFill>
          </a:endParaRPr>
        </a:p>
        <a:p>
          <a:r>
            <a:rPr lang="en-US" sz="1100" b="1" i="1" baseline="0">
              <a:solidFill>
                <a:sysClr val="windowText" lastClr="000000"/>
              </a:solidFill>
            </a:rPr>
            <a:t>(4) Under what circumstances shall I revisit the Back Door Roth strategy?</a:t>
          </a:r>
        </a:p>
        <a:p>
          <a:endParaRPr lang="en-US" sz="1100" b="1" i="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2</xdr:colOff>
      <xdr:row>17</xdr:row>
      <xdr:rowOff>9524</xdr:rowOff>
    </xdr:from>
    <xdr:to>
      <xdr:col>36</xdr:col>
      <xdr:colOff>57150</xdr:colOff>
      <xdr:row>28</xdr:row>
      <xdr:rowOff>76199</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0</xdr:colOff>
      <xdr:row>34</xdr:row>
      <xdr:rowOff>1399</xdr:rowOff>
    </xdr:from>
    <xdr:to>
      <xdr:col>36</xdr:col>
      <xdr:colOff>74928</xdr:colOff>
      <xdr:row>45</xdr:row>
      <xdr:rowOff>85724</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0</xdr:colOff>
      <xdr:row>50</xdr:row>
      <xdr:rowOff>39498</xdr:rowOff>
    </xdr:from>
    <xdr:to>
      <xdr:col>36</xdr:col>
      <xdr:colOff>74928</xdr:colOff>
      <xdr:row>61</xdr:row>
      <xdr:rowOff>123823</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2" name="Table2" displayName="Table2" ref="G3:M10" totalsRowShown="0" headerRowDxfId="11" dataDxfId="10">
  <tableColumns count="7">
    <tableColumn id="1" name="Tax Tier" dataDxfId="9">
      <calculatedColumnFormula>B4</calculatedColumnFormula>
    </tableColumn>
    <tableColumn id="2" name="Min" dataDxfId="8">
      <calculatedColumnFormula>I3</calculatedColumnFormula>
    </tableColumn>
    <tableColumn id="3" name="Max" dataDxfId="7" dataCellStyle="Comma"/>
    <tableColumn id="4" name="Tax in Tier" dataDxfId="6">
      <calculatedColumnFormula>G4*(I4-H4)</calculatedColumnFormula>
    </tableColumn>
    <tableColumn id="5" name="Cum Tax" dataDxfId="5">
      <calculatedColumnFormula>SUM(J$4:J4)</calculatedColumnFormula>
    </tableColumn>
    <tableColumn id="6" name="Effective Tax Rate" dataDxfId="4" dataCellStyle="Percent">
      <calculatedColumnFormula>K4/I4</calculatedColumnFormula>
    </tableColumn>
    <tableColumn id="7" name="Top Bracket" dataDxfId="3">
      <calculatedColumnFormula>G4</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fool.com/retirement/plans/roth-ira/conver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showGridLines="0" zoomScaleNormal="100" workbookViewId="0">
      <selection activeCell="L7" sqref="L7"/>
    </sheetView>
  </sheetViews>
  <sheetFormatPr defaultRowHeight="14.4" x14ac:dyDescent="0.3"/>
  <cols>
    <col min="1" max="1" width="4" style="70" customWidth="1"/>
    <col min="2" max="2" width="6.21875" style="85" customWidth="1"/>
    <col min="3" max="3" width="18.6640625" style="70" bestFit="1" customWidth="1"/>
    <col min="4" max="5" width="20.109375" style="70" hidden="1" customWidth="1"/>
    <col min="6" max="6" width="2.77734375" style="70" customWidth="1"/>
    <col min="7" max="7" width="7.5546875" style="70" customWidth="1"/>
    <col min="8" max="8" width="8.88671875" style="70"/>
    <col min="9" max="9" width="9.88671875" style="70" bestFit="1" customWidth="1"/>
    <col min="10" max="10" width="8.44140625" style="70" bestFit="1" customWidth="1"/>
    <col min="11" max="11" width="9.5546875" style="70" bestFit="1" customWidth="1"/>
    <col min="12" max="12" width="8.33203125" style="70" bestFit="1" customWidth="1"/>
    <col min="13" max="13" width="7.33203125" style="70" bestFit="1" customWidth="1"/>
    <col min="14" max="16384" width="8.88671875" style="70"/>
  </cols>
  <sheetData>
    <row r="2" spans="2:13" ht="26.4" thickBot="1" x14ac:dyDescent="0.55000000000000004">
      <c r="B2" s="103" t="s">
        <v>91</v>
      </c>
      <c r="K2" s="90"/>
    </row>
    <row r="3" spans="2:13" ht="29.4" thickBot="1" x14ac:dyDescent="0.35">
      <c r="B3" s="117" t="s">
        <v>38</v>
      </c>
      <c r="C3" s="118" t="s">
        <v>99</v>
      </c>
      <c r="D3" s="82" t="s">
        <v>39</v>
      </c>
      <c r="E3" s="82" t="s">
        <v>40</v>
      </c>
      <c r="G3" s="149" t="s">
        <v>82</v>
      </c>
      <c r="H3" s="149" t="s">
        <v>59</v>
      </c>
      <c r="I3" s="149" t="s">
        <v>60</v>
      </c>
      <c r="J3" s="150" t="s">
        <v>97</v>
      </c>
      <c r="K3" s="150" t="s">
        <v>98</v>
      </c>
      <c r="L3" s="149" t="s">
        <v>109</v>
      </c>
      <c r="M3" s="149" t="s">
        <v>81</v>
      </c>
    </row>
    <row r="4" spans="2:13" ht="15.6" thickTop="1" thickBot="1" x14ac:dyDescent="0.35">
      <c r="B4" s="119">
        <v>0.1</v>
      </c>
      <c r="C4" s="120" t="s">
        <v>41</v>
      </c>
      <c r="D4" s="83" t="s">
        <v>42</v>
      </c>
      <c r="E4" s="83" t="s">
        <v>43</v>
      </c>
      <c r="G4" s="86">
        <f t="shared" ref="G4:G10" si="0">B4</f>
        <v>0.1</v>
      </c>
      <c r="H4" s="89">
        <v>0</v>
      </c>
      <c r="I4" s="88">
        <v>9875</v>
      </c>
      <c r="J4" s="89">
        <f>G4*(I4-H4)</f>
        <v>987.5</v>
      </c>
      <c r="K4" s="89">
        <f>SUM(J$4:J4)</f>
        <v>987.5</v>
      </c>
      <c r="L4" s="151">
        <f t="shared" ref="L4:L10" si="1">K4/I4</f>
        <v>0.1</v>
      </c>
      <c r="M4" s="152">
        <f>G4</f>
        <v>0.1</v>
      </c>
    </row>
    <row r="5" spans="2:13" ht="15" thickBot="1" x14ac:dyDescent="0.35">
      <c r="B5" s="121">
        <v>0.12</v>
      </c>
      <c r="C5" s="122" t="s">
        <v>44</v>
      </c>
      <c r="D5" s="84" t="s">
        <v>45</v>
      </c>
      <c r="E5" s="84" t="s">
        <v>46</v>
      </c>
      <c r="G5" s="86">
        <f t="shared" si="0"/>
        <v>0.12</v>
      </c>
      <c r="H5" s="89">
        <f t="shared" ref="H5:H10" si="2">I4</f>
        <v>9875</v>
      </c>
      <c r="I5" s="88">
        <v>40125</v>
      </c>
      <c r="J5" s="89">
        <f t="shared" ref="J5:J10" si="3">G5*(I5-H5)</f>
        <v>3630</v>
      </c>
      <c r="K5" s="89">
        <f>SUM(J$4:J5)</f>
        <v>4617.5</v>
      </c>
      <c r="L5" s="151">
        <f t="shared" si="1"/>
        <v>0.11507788161993769</v>
      </c>
      <c r="M5" s="152">
        <f t="shared" ref="M5:M10" si="4">G5</f>
        <v>0.12</v>
      </c>
    </row>
    <row r="6" spans="2:13" ht="15" thickBot="1" x14ac:dyDescent="0.35">
      <c r="B6" s="119">
        <v>0.22</v>
      </c>
      <c r="C6" s="120" t="s">
        <v>47</v>
      </c>
      <c r="D6" s="83" t="s">
        <v>48</v>
      </c>
      <c r="E6" s="83" t="s">
        <v>49</v>
      </c>
      <c r="G6" s="86">
        <f t="shared" si="0"/>
        <v>0.22</v>
      </c>
      <c r="H6" s="89">
        <f t="shared" si="2"/>
        <v>40125</v>
      </c>
      <c r="I6" s="88">
        <v>85526</v>
      </c>
      <c r="J6" s="89">
        <f t="shared" si="3"/>
        <v>9988.2199999999993</v>
      </c>
      <c r="K6" s="89">
        <f>SUM(J$4:J6)</f>
        <v>14605.72</v>
      </c>
      <c r="L6" s="151">
        <f t="shared" si="1"/>
        <v>0.17077520286228748</v>
      </c>
      <c r="M6" s="152">
        <f t="shared" si="4"/>
        <v>0.22</v>
      </c>
    </row>
    <row r="7" spans="2:13" ht="15" thickBot="1" x14ac:dyDescent="0.35">
      <c r="B7" s="121">
        <v>0.24</v>
      </c>
      <c r="C7" s="122" t="s">
        <v>50</v>
      </c>
      <c r="D7" s="84" t="s">
        <v>51</v>
      </c>
      <c r="E7" s="84" t="s">
        <v>52</v>
      </c>
      <c r="G7" s="86">
        <f t="shared" si="0"/>
        <v>0.24</v>
      </c>
      <c r="H7" s="89">
        <f t="shared" si="2"/>
        <v>85526</v>
      </c>
      <c r="I7" s="88">
        <v>163300</v>
      </c>
      <c r="J7" s="89">
        <f t="shared" si="3"/>
        <v>18665.759999999998</v>
      </c>
      <c r="K7" s="89">
        <f>SUM(J$4:J7)</f>
        <v>33271.479999999996</v>
      </c>
      <c r="L7" s="151">
        <f t="shared" si="1"/>
        <v>0.20374451928965093</v>
      </c>
      <c r="M7" s="152">
        <f t="shared" si="4"/>
        <v>0.24</v>
      </c>
    </row>
    <row r="8" spans="2:13" ht="15" thickBot="1" x14ac:dyDescent="0.35">
      <c r="B8" s="119">
        <v>0.32</v>
      </c>
      <c r="C8" s="120" t="s">
        <v>53</v>
      </c>
      <c r="D8" s="83" t="s">
        <v>54</v>
      </c>
      <c r="E8" s="83" t="s">
        <v>53</v>
      </c>
      <c r="G8" s="86">
        <f t="shared" si="0"/>
        <v>0.32</v>
      </c>
      <c r="H8" s="89">
        <f t="shared" si="2"/>
        <v>163300</v>
      </c>
      <c r="I8" s="88">
        <v>207350</v>
      </c>
      <c r="J8" s="89">
        <f t="shared" si="3"/>
        <v>14096</v>
      </c>
      <c r="K8" s="89">
        <f>SUM(J$4:J8)</f>
        <v>47367.479999999996</v>
      </c>
      <c r="L8" s="151">
        <f t="shared" si="1"/>
        <v>0.22844215095249576</v>
      </c>
      <c r="M8" s="152">
        <f t="shared" si="4"/>
        <v>0.32</v>
      </c>
    </row>
    <row r="9" spans="2:13" ht="15" thickBot="1" x14ac:dyDescent="0.35">
      <c r="B9" s="121">
        <v>0.35</v>
      </c>
      <c r="C9" s="122" t="s">
        <v>55</v>
      </c>
      <c r="D9" s="84" t="s">
        <v>56</v>
      </c>
      <c r="E9" s="84" t="s">
        <v>55</v>
      </c>
      <c r="G9" s="86">
        <f t="shared" si="0"/>
        <v>0.35</v>
      </c>
      <c r="H9" s="89">
        <f t="shared" si="2"/>
        <v>207350</v>
      </c>
      <c r="I9" s="88">
        <v>518400</v>
      </c>
      <c r="J9" s="89">
        <f t="shared" si="3"/>
        <v>108867.5</v>
      </c>
      <c r="K9" s="89">
        <f>SUM(J$4:J9)</f>
        <v>156234.97999999998</v>
      </c>
      <c r="L9" s="151">
        <f t="shared" si="1"/>
        <v>0.30137920524691353</v>
      </c>
      <c r="M9" s="152">
        <f t="shared" si="4"/>
        <v>0.35</v>
      </c>
    </row>
    <row r="10" spans="2:13" ht="15" thickBot="1" x14ac:dyDescent="0.35">
      <c r="B10" s="123">
        <v>0.37</v>
      </c>
      <c r="C10" s="124" t="s">
        <v>57</v>
      </c>
      <c r="D10" s="83" t="s">
        <v>58</v>
      </c>
      <c r="E10" s="83" t="s">
        <v>57</v>
      </c>
      <c r="G10" s="86">
        <f t="shared" si="0"/>
        <v>0.37</v>
      </c>
      <c r="H10" s="89">
        <f t="shared" si="2"/>
        <v>518400</v>
      </c>
      <c r="I10" s="125">
        <v>1000000</v>
      </c>
      <c r="J10" s="89">
        <f t="shared" si="3"/>
        <v>178192</v>
      </c>
      <c r="K10" s="89">
        <f>SUM(J$4:J10)</f>
        <v>334426.98</v>
      </c>
      <c r="L10" s="151">
        <f t="shared" si="1"/>
        <v>0.33442697999999998</v>
      </c>
      <c r="M10" s="152">
        <f t="shared" si="4"/>
        <v>0.37</v>
      </c>
    </row>
    <row r="11" spans="2:13" x14ac:dyDescent="0.3">
      <c r="I11" s="126" t="s">
        <v>100</v>
      </c>
    </row>
    <row r="13" spans="2:13" ht="25.8" x14ac:dyDescent="0.5">
      <c r="B13" s="103" t="s">
        <v>93</v>
      </c>
    </row>
    <row r="14" spans="2:13" ht="69.599999999999994" customHeight="1" x14ac:dyDescent="0.3">
      <c r="B14" s="279" t="s">
        <v>92</v>
      </c>
      <c r="C14" s="279"/>
      <c r="D14" s="279"/>
      <c r="E14" s="279"/>
      <c r="F14" s="279"/>
      <c r="G14" s="279"/>
      <c r="H14" s="279"/>
      <c r="I14" s="279"/>
      <c r="J14" s="279"/>
      <c r="K14" s="279"/>
      <c r="L14" s="279"/>
      <c r="M14" s="279"/>
    </row>
    <row r="15" spans="2:13" ht="12.6" customHeight="1" x14ac:dyDescent="0.3">
      <c r="B15" s="116"/>
      <c r="C15" s="116"/>
      <c r="D15" s="116"/>
      <c r="E15" s="116"/>
      <c r="F15" s="116"/>
      <c r="G15" s="116"/>
      <c r="H15" s="116"/>
      <c r="I15" s="116"/>
      <c r="J15" s="116"/>
      <c r="K15" s="116"/>
      <c r="L15" s="116"/>
      <c r="M15" s="116"/>
    </row>
    <row r="16" spans="2:13" ht="14.4" customHeight="1" x14ac:dyDescent="0.3">
      <c r="B16" s="281" t="s">
        <v>141</v>
      </c>
      <c r="C16" s="281"/>
      <c r="D16" s="281"/>
      <c r="E16" s="281"/>
      <c r="F16" s="281"/>
      <c r="G16" s="281"/>
      <c r="H16" s="281"/>
      <c r="I16" s="281"/>
      <c r="J16" s="281"/>
      <c r="K16" s="281"/>
      <c r="L16" s="281"/>
      <c r="M16" s="254"/>
    </row>
    <row r="17" spans="1:12" ht="18" x14ac:dyDescent="0.3">
      <c r="A17" s="269" t="s">
        <v>151</v>
      </c>
      <c r="B17" s="282" t="s">
        <v>140</v>
      </c>
      <c r="C17" s="282"/>
      <c r="D17" s="282"/>
      <c r="E17" s="282"/>
      <c r="F17" s="282"/>
      <c r="G17" s="282"/>
      <c r="H17" s="282"/>
      <c r="I17" s="282"/>
      <c r="J17" s="282"/>
      <c r="K17" s="261">
        <v>2020</v>
      </c>
      <c r="L17" s="261">
        <v>2021</v>
      </c>
    </row>
    <row r="18" spans="1:12" ht="23.4" customHeight="1" x14ac:dyDescent="0.3">
      <c r="A18" s="269">
        <v>1</v>
      </c>
      <c r="B18" s="257" t="s">
        <v>163</v>
      </c>
      <c r="C18" s="258"/>
      <c r="D18" s="257">
        <v>19500</v>
      </c>
      <c r="E18" s="258"/>
      <c r="F18" s="257"/>
      <c r="G18" s="258"/>
      <c r="H18" s="257"/>
      <c r="I18" s="258"/>
      <c r="J18" s="257"/>
      <c r="K18" s="258">
        <v>19500</v>
      </c>
      <c r="L18" s="258">
        <v>19500</v>
      </c>
    </row>
    <row r="19" spans="1:12" ht="23.4" customHeight="1" x14ac:dyDescent="0.3">
      <c r="A19" s="269">
        <v>2</v>
      </c>
      <c r="B19" s="259" t="s">
        <v>164</v>
      </c>
      <c r="C19" s="260"/>
      <c r="D19" s="259">
        <v>38500</v>
      </c>
      <c r="E19" s="260"/>
      <c r="F19" s="259"/>
      <c r="G19" s="260"/>
      <c r="H19" s="259"/>
      <c r="I19" s="260"/>
      <c r="J19" s="259"/>
      <c r="K19" s="260">
        <v>37500</v>
      </c>
      <c r="L19" s="260">
        <v>38500</v>
      </c>
    </row>
    <row r="20" spans="1:12" ht="23.4" customHeight="1" x14ac:dyDescent="0.3">
      <c r="A20" s="269">
        <v>3</v>
      </c>
      <c r="B20" s="257" t="s">
        <v>142</v>
      </c>
      <c r="C20" s="258"/>
      <c r="D20" s="257">
        <v>58000</v>
      </c>
      <c r="E20" s="258"/>
      <c r="F20" s="257"/>
      <c r="G20" s="258"/>
      <c r="H20" s="257"/>
      <c r="I20" s="258"/>
      <c r="J20" s="257"/>
      <c r="K20" s="258">
        <v>57000</v>
      </c>
      <c r="L20" s="258">
        <v>58000</v>
      </c>
    </row>
    <row r="21" spans="1:12" ht="18" x14ac:dyDescent="0.3">
      <c r="A21" s="269"/>
      <c r="B21" s="282" t="s">
        <v>139</v>
      </c>
      <c r="C21" s="282"/>
      <c r="D21" s="282"/>
      <c r="E21" s="282"/>
      <c r="F21" s="282"/>
      <c r="G21" s="282"/>
      <c r="H21" s="282"/>
      <c r="I21" s="282"/>
      <c r="J21" s="282"/>
      <c r="K21" s="256"/>
      <c r="L21" s="255"/>
    </row>
    <row r="22" spans="1:12" ht="22.2" customHeight="1" x14ac:dyDescent="0.3">
      <c r="A22" s="269">
        <v>1</v>
      </c>
      <c r="B22" s="257" t="s">
        <v>143</v>
      </c>
      <c r="C22" s="258"/>
      <c r="D22" s="257">
        <v>6500</v>
      </c>
      <c r="E22" s="258"/>
      <c r="F22" s="257"/>
      <c r="G22" s="258"/>
      <c r="H22" s="257"/>
      <c r="I22" s="258"/>
      <c r="J22" s="257"/>
      <c r="K22" s="258">
        <v>6500</v>
      </c>
      <c r="L22" s="258">
        <v>6500</v>
      </c>
    </row>
    <row r="23" spans="1:12" ht="22.2" customHeight="1" x14ac:dyDescent="0.3">
      <c r="A23" s="269">
        <v>3</v>
      </c>
      <c r="B23" s="259" t="s">
        <v>142</v>
      </c>
      <c r="C23" s="260"/>
      <c r="D23" s="259">
        <v>64500</v>
      </c>
      <c r="E23" s="260"/>
      <c r="F23" s="259"/>
      <c r="G23" s="260"/>
      <c r="H23" s="259"/>
      <c r="I23" s="260"/>
      <c r="J23" s="259"/>
      <c r="K23" s="260">
        <v>63500</v>
      </c>
      <c r="L23" s="260">
        <v>64500</v>
      </c>
    </row>
    <row r="25" spans="1:12" ht="18.600000000000001" customHeight="1" x14ac:dyDescent="0.3">
      <c r="B25" s="280" t="s">
        <v>94</v>
      </c>
      <c r="C25" s="280"/>
      <c r="D25" s="280"/>
      <c r="E25" s="280"/>
      <c r="F25" s="280"/>
      <c r="G25" s="280"/>
      <c r="H25" s="280"/>
      <c r="I25" s="280"/>
      <c r="J25" s="280"/>
      <c r="K25" s="280"/>
      <c r="L25" s="280"/>
    </row>
    <row r="26" spans="1:12" ht="18" customHeight="1" x14ac:dyDescent="0.3">
      <c r="B26" s="280" t="s">
        <v>95</v>
      </c>
      <c r="C26" s="280"/>
      <c r="D26" s="280"/>
      <c r="E26" s="280"/>
      <c r="F26" s="280"/>
      <c r="G26" s="280"/>
      <c r="H26" s="280"/>
      <c r="I26" s="280"/>
      <c r="J26" s="280"/>
      <c r="K26" s="280"/>
      <c r="L26" s="280"/>
    </row>
    <row r="27" spans="1:12" ht="30.6" customHeight="1" x14ac:dyDescent="0.3">
      <c r="B27" s="280" t="s">
        <v>96</v>
      </c>
      <c r="C27" s="280"/>
      <c r="D27" s="280"/>
      <c r="E27" s="280"/>
      <c r="F27" s="280"/>
      <c r="G27" s="280"/>
      <c r="H27" s="280"/>
      <c r="I27" s="280"/>
      <c r="J27" s="280"/>
      <c r="K27" s="280"/>
      <c r="L27" s="280"/>
    </row>
  </sheetData>
  <mergeCells count="7">
    <mergeCell ref="B14:M14"/>
    <mergeCell ref="B25:L25"/>
    <mergeCell ref="B26:L26"/>
    <mergeCell ref="B27:L27"/>
    <mergeCell ref="B16:L16"/>
    <mergeCell ref="B17:J17"/>
    <mergeCell ref="B21:J21"/>
  </mergeCell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1"/>
  <sheetViews>
    <sheetView showGridLines="0" topLeftCell="A47" zoomScale="80" zoomScaleNormal="80" workbookViewId="0">
      <selection activeCell="E17" sqref="E17:V71"/>
    </sheetView>
  </sheetViews>
  <sheetFormatPr defaultRowHeight="14.4" x14ac:dyDescent="0.3"/>
  <cols>
    <col min="1" max="1" width="4.6640625" customWidth="1"/>
    <col min="2" max="2" width="2.6640625" customWidth="1"/>
    <col min="3" max="4" width="3.6640625" customWidth="1"/>
    <col min="5" max="5" width="6.44140625" customWidth="1"/>
    <col min="6" max="6" width="2.6640625" customWidth="1"/>
    <col min="7" max="7" width="8.33203125" customWidth="1"/>
    <col min="8" max="8" width="4.6640625" customWidth="1"/>
    <col min="9" max="9" width="2.6640625" customWidth="1"/>
    <col min="10" max="11" width="4.6640625" customWidth="1"/>
    <col min="12" max="12" width="2.6640625" customWidth="1"/>
    <col min="13" max="14" width="4.6640625" customWidth="1"/>
    <col min="15" max="15" width="2.6640625" customWidth="1"/>
    <col min="16" max="17" width="4.6640625" customWidth="1"/>
    <col min="18" max="18" width="2.6640625" customWidth="1"/>
    <col min="19" max="20" width="4.6640625" customWidth="1"/>
    <col min="21" max="21" width="2.6640625" customWidth="1"/>
    <col min="22" max="22" width="4.6640625" customWidth="1"/>
    <col min="23" max="23" width="2.6640625" customWidth="1"/>
    <col min="24" max="24" width="4.6640625" customWidth="1"/>
    <col min="25" max="25" width="2.6640625" customWidth="1"/>
    <col min="26" max="26" width="4.6640625" customWidth="1"/>
    <col min="27" max="27" width="6" customWidth="1"/>
    <col min="28" max="37" width="4.6640625" customWidth="1"/>
    <col min="38" max="38" width="2.6640625" customWidth="1"/>
    <col min="39" max="53" width="4.6640625" customWidth="1"/>
  </cols>
  <sheetData>
    <row r="1" spans="2:43" x14ac:dyDescent="0.3">
      <c r="K1" s="1"/>
      <c r="L1" s="1"/>
      <c r="M1" s="1"/>
      <c r="N1" s="1"/>
      <c r="S1" s="1"/>
      <c r="T1" s="1"/>
      <c r="U1" s="1"/>
      <c r="V1" s="1"/>
    </row>
    <row r="2" spans="2:43" ht="23.4" x14ac:dyDescent="0.45">
      <c r="B2" s="348" t="s">
        <v>33</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row>
    <row r="3" spans="2:43" ht="15" thickBot="1" x14ac:dyDescent="0.35">
      <c r="J3" s="69"/>
      <c r="K3" s="1"/>
      <c r="L3" s="1"/>
      <c r="M3" s="1"/>
      <c r="N3" s="1"/>
      <c r="O3" s="1"/>
      <c r="P3" s="1"/>
      <c r="Q3" s="1"/>
      <c r="R3" s="1"/>
      <c r="S3" s="1"/>
      <c r="T3" s="1"/>
      <c r="U3" s="1"/>
      <c r="V3" s="1"/>
      <c r="W3" s="1"/>
      <c r="X3" s="1"/>
      <c r="Y3" s="1"/>
      <c r="Z3" s="1"/>
      <c r="AA3" s="1"/>
      <c r="AB3" s="1"/>
      <c r="AC3" s="1"/>
      <c r="AD3" s="1"/>
      <c r="AE3" s="1"/>
      <c r="AF3" s="1"/>
      <c r="AG3" s="1"/>
      <c r="AH3" s="1"/>
      <c r="AI3" s="1"/>
      <c r="AJ3" s="1"/>
    </row>
    <row r="4" spans="2:43" ht="15.6" thickTop="1" thickBot="1" x14ac:dyDescent="0.35">
      <c r="B4" s="22"/>
      <c r="C4" s="23"/>
      <c r="D4" s="24"/>
      <c r="E4" s="23"/>
      <c r="F4" s="23"/>
      <c r="G4" s="23"/>
      <c r="H4" s="23"/>
      <c r="I4" s="23"/>
      <c r="J4" s="23"/>
      <c r="K4" s="25"/>
      <c r="L4" s="25"/>
      <c r="M4" s="25"/>
      <c r="N4" s="25"/>
      <c r="O4" s="25"/>
      <c r="P4" s="25"/>
      <c r="Q4" s="25"/>
      <c r="R4" s="25"/>
      <c r="S4" s="25"/>
      <c r="T4" s="25"/>
      <c r="U4" s="25"/>
      <c r="V4" s="25"/>
      <c r="W4" s="26"/>
      <c r="Y4" s="11"/>
      <c r="Z4" s="12"/>
      <c r="AA4" s="12"/>
      <c r="AB4" s="12"/>
      <c r="AC4" s="12"/>
      <c r="AD4" s="12"/>
      <c r="AE4" s="12"/>
      <c r="AF4" s="12"/>
      <c r="AG4" s="12"/>
      <c r="AH4" s="12"/>
      <c r="AI4" s="12"/>
      <c r="AJ4" s="12"/>
      <c r="AK4" s="12"/>
      <c r="AL4" s="13"/>
    </row>
    <row r="5" spans="2:43" ht="15" thickBot="1" x14ac:dyDescent="0.35">
      <c r="B5" s="27"/>
      <c r="C5" s="325" t="s">
        <v>24</v>
      </c>
      <c r="D5" s="326"/>
      <c r="E5" s="326"/>
      <c r="F5" s="326"/>
      <c r="G5" s="327"/>
      <c r="H5" s="349">
        <v>120000</v>
      </c>
      <c r="I5" s="350"/>
      <c r="J5" s="351"/>
      <c r="K5" s="28"/>
      <c r="L5" s="28"/>
      <c r="M5" s="325" t="s">
        <v>14</v>
      </c>
      <c r="N5" s="326"/>
      <c r="O5" s="326"/>
      <c r="P5" s="326"/>
      <c r="Q5" s="327"/>
      <c r="R5" s="359">
        <v>50</v>
      </c>
      <c r="S5" s="360"/>
      <c r="T5" s="361"/>
      <c r="U5" s="51" t="s">
        <v>1</v>
      </c>
      <c r="V5" s="30"/>
      <c r="W5" s="31"/>
      <c r="Y5" s="14"/>
      <c r="Z5" s="28"/>
      <c r="AA5" s="28"/>
      <c r="AB5" s="28"/>
      <c r="AC5" s="331" t="s">
        <v>9</v>
      </c>
      <c r="AD5" s="331"/>
      <c r="AE5" s="331"/>
      <c r="AF5" s="331"/>
      <c r="AG5" s="331"/>
      <c r="AH5" s="331"/>
      <c r="AI5" s="331"/>
      <c r="AJ5" s="331"/>
      <c r="AK5" s="331"/>
      <c r="AL5" s="15"/>
      <c r="AM5" s="1"/>
      <c r="AN5" s="1"/>
      <c r="AO5" s="1"/>
      <c r="AP5" s="1"/>
      <c r="AQ5" s="1"/>
    </row>
    <row r="6" spans="2:43" ht="15" thickBot="1" x14ac:dyDescent="0.35">
      <c r="B6" s="27"/>
      <c r="C6" s="325" t="s">
        <v>23</v>
      </c>
      <c r="D6" s="326"/>
      <c r="E6" s="326"/>
      <c r="F6" s="326"/>
      <c r="G6" s="327"/>
      <c r="H6" s="359">
        <v>3</v>
      </c>
      <c r="I6" s="360"/>
      <c r="J6" s="361"/>
      <c r="K6" s="51" t="s">
        <v>1</v>
      </c>
      <c r="L6" s="30"/>
      <c r="M6" s="325" t="s">
        <v>15</v>
      </c>
      <c r="N6" s="327"/>
      <c r="O6" s="359">
        <v>6</v>
      </c>
      <c r="P6" s="360"/>
      <c r="Q6" s="361"/>
      <c r="R6" s="362" t="s">
        <v>0</v>
      </c>
      <c r="S6" s="363"/>
      <c r="T6" s="363"/>
      <c r="U6" s="28"/>
      <c r="V6" s="30"/>
      <c r="W6" s="31"/>
      <c r="Y6" s="14"/>
      <c r="Z6" s="35"/>
      <c r="AA6" s="34"/>
      <c r="AB6" s="35"/>
      <c r="AC6" s="386" t="s">
        <v>7</v>
      </c>
      <c r="AD6" s="386"/>
      <c r="AE6" s="386"/>
      <c r="AF6" s="386" t="s">
        <v>8</v>
      </c>
      <c r="AG6" s="386"/>
      <c r="AH6" s="386"/>
      <c r="AI6" s="386" t="s">
        <v>10</v>
      </c>
      <c r="AJ6" s="386"/>
      <c r="AK6" s="386"/>
      <c r="AL6" s="15"/>
      <c r="AM6" s="1"/>
      <c r="AN6" s="1"/>
      <c r="AO6" s="1"/>
      <c r="AP6" s="1"/>
      <c r="AQ6" s="1"/>
    </row>
    <row r="7" spans="2:43" ht="15" thickBot="1" x14ac:dyDescent="0.35">
      <c r="B7" s="27"/>
      <c r="C7" s="21"/>
      <c r="D7" s="21"/>
      <c r="E7" s="21"/>
      <c r="F7" s="21"/>
      <c r="G7" s="21"/>
      <c r="H7" s="28"/>
      <c r="I7" s="28"/>
      <c r="J7" s="28"/>
      <c r="K7" s="29"/>
      <c r="L7" s="30"/>
      <c r="M7" s="32"/>
      <c r="N7" s="32"/>
      <c r="O7" s="32"/>
      <c r="P7" s="32"/>
      <c r="Q7" s="32"/>
      <c r="R7" s="28"/>
      <c r="S7" s="28"/>
      <c r="T7" s="28"/>
      <c r="U7" s="28"/>
      <c r="V7" s="30"/>
      <c r="W7" s="31"/>
      <c r="Y7" s="14"/>
      <c r="Z7" s="297" t="s">
        <v>25</v>
      </c>
      <c r="AA7" s="297"/>
      <c r="AB7" s="297"/>
      <c r="AC7" s="356">
        <f>H9</f>
        <v>0</v>
      </c>
      <c r="AD7" s="356"/>
      <c r="AE7" s="356"/>
      <c r="AF7" s="357">
        <f>H10</f>
        <v>0</v>
      </c>
      <c r="AG7" s="357"/>
      <c r="AH7" s="357"/>
      <c r="AI7" s="358">
        <f>SUM(AC7:AH7)</f>
        <v>0</v>
      </c>
      <c r="AJ7" s="358"/>
      <c r="AK7" s="358"/>
      <c r="AL7" s="15"/>
      <c r="AM7" s="1"/>
      <c r="AN7" s="1"/>
      <c r="AO7" s="1"/>
      <c r="AP7" s="1"/>
      <c r="AQ7" s="1"/>
    </row>
    <row r="8" spans="2:43" ht="15" thickBot="1" x14ac:dyDescent="0.35">
      <c r="B8" s="27"/>
      <c r="C8" s="325" t="s">
        <v>22</v>
      </c>
      <c r="D8" s="326"/>
      <c r="E8" s="326"/>
      <c r="F8" s="326"/>
      <c r="G8" s="327"/>
      <c r="H8" s="344">
        <f>EmployerInitialCont+YourInitialCont</f>
        <v>0</v>
      </c>
      <c r="I8" s="345"/>
      <c r="J8" s="346"/>
      <c r="K8" s="29"/>
      <c r="L8" s="30"/>
      <c r="M8" s="325" t="s">
        <v>16</v>
      </c>
      <c r="N8" s="326"/>
      <c r="O8" s="326"/>
      <c r="P8" s="326"/>
      <c r="Q8" s="327"/>
      <c r="R8" s="328">
        <v>30</v>
      </c>
      <c r="S8" s="329"/>
      <c r="T8" s="330"/>
      <c r="U8" s="28"/>
      <c r="V8" s="30"/>
      <c r="W8" s="31"/>
      <c r="Y8" s="14"/>
      <c r="Z8" s="331" t="str">
        <f>" Coming "&amp;(RetirementAge-CurrentAge)&amp;" yrs"</f>
        <v xml:space="preserve"> Coming 35 yrs</v>
      </c>
      <c r="AA8" s="331"/>
      <c r="AB8" s="331"/>
      <c r="AC8" s="347">
        <f>SUM(K17:M76)</f>
        <v>435326.98904916563</v>
      </c>
      <c r="AD8" s="347"/>
      <c r="AE8" s="347"/>
      <c r="AF8" s="364">
        <f>SUM(N17:P76)</f>
        <v>217663.49452458281</v>
      </c>
      <c r="AG8" s="364"/>
      <c r="AH8" s="364"/>
      <c r="AI8" s="365">
        <f>SUM(AC8:AH8)</f>
        <v>652990.4835737485</v>
      </c>
      <c r="AJ8" s="365"/>
      <c r="AK8" s="365"/>
      <c r="AL8" s="15"/>
      <c r="AM8" s="1"/>
      <c r="AN8" s="1"/>
      <c r="AO8" s="1"/>
      <c r="AP8" s="1"/>
      <c r="AQ8" s="1"/>
    </row>
    <row r="9" spans="2:43" ht="15" thickBot="1" x14ac:dyDescent="0.35">
      <c r="B9" s="27"/>
      <c r="C9" s="325" t="s">
        <v>21</v>
      </c>
      <c r="D9" s="326"/>
      <c r="E9" s="326"/>
      <c r="F9" s="326"/>
      <c r="G9" s="327"/>
      <c r="H9" s="333">
        <v>0</v>
      </c>
      <c r="I9" s="334"/>
      <c r="J9" s="335"/>
      <c r="K9" s="29"/>
      <c r="L9" s="30"/>
      <c r="M9" s="325" t="s">
        <v>17</v>
      </c>
      <c r="N9" s="326"/>
      <c r="O9" s="326"/>
      <c r="P9" s="326"/>
      <c r="Q9" s="327"/>
      <c r="R9" s="328">
        <v>65</v>
      </c>
      <c r="S9" s="329"/>
      <c r="T9" s="330"/>
      <c r="U9" s="28"/>
      <c r="V9" s="30"/>
      <c r="W9" s="31"/>
      <c r="Y9" s="14"/>
      <c r="Z9" s="386" t="s">
        <v>26</v>
      </c>
      <c r="AA9" s="386"/>
      <c r="AB9" s="386"/>
      <c r="AC9" s="387">
        <f>AC7+AC8</f>
        <v>435326.98904916563</v>
      </c>
      <c r="AD9" s="387"/>
      <c r="AE9" s="387"/>
      <c r="AF9" s="388">
        <f>AF7+AF8</f>
        <v>217663.49452458281</v>
      </c>
      <c r="AG9" s="388"/>
      <c r="AH9" s="388"/>
      <c r="AI9" s="389">
        <f>SUM(AC9:AH9)</f>
        <v>652990.4835737485</v>
      </c>
      <c r="AJ9" s="389"/>
      <c r="AK9" s="389"/>
      <c r="AL9" s="15"/>
      <c r="AM9" s="1"/>
      <c r="AN9" s="1"/>
      <c r="AO9" s="1"/>
      <c r="AP9" s="1"/>
      <c r="AQ9" s="1"/>
    </row>
    <row r="10" spans="2:43" ht="15" thickBot="1" x14ac:dyDescent="0.35">
      <c r="B10" s="27"/>
      <c r="C10" s="325" t="s">
        <v>20</v>
      </c>
      <c r="D10" s="326"/>
      <c r="E10" s="326"/>
      <c r="F10" s="326"/>
      <c r="G10" s="327"/>
      <c r="H10" s="333">
        <v>0</v>
      </c>
      <c r="I10" s="334"/>
      <c r="J10" s="335"/>
      <c r="K10" s="29"/>
      <c r="L10" s="30"/>
      <c r="M10" s="325" t="s">
        <v>32</v>
      </c>
      <c r="N10" s="326"/>
      <c r="O10" s="326"/>
      <c r="P10" s="326"/>
      <c r="Q10" s="327"/>
      <c r="R10" s="359">
        <v>7</v>
      </c>
      <c r="S10" s="360"/>
      <c r="T10" s="361"/>
      <c r="U10" s="51" t="s">
        <v>1</v>
      </c>
      <c r="V10" s="30"/>
      <c r="W10" s="31"/>
      <c r="Y10" s="14"/>
      <c r="Z10" s="297" t="s">
        <v>27</v>
      </c>
      <c r="AA10" s="297"/>
      <c r="AB10" s="297"/>
      <c r="AC10" s="426">
        <f>SUM(Q17:S76)</f>
        <v>1469943.6545921322</v>
      </c>
      <c r="AD10" s="426"/>
      <c r="AE10" s="426"/>
      <c r="AF10" s="52"/>
      <c r="AG10" s="52"/>
      <c r="AH10" s="52"/>
      <c r="AI10" s="52"/>
      <c r="AJ10" s="52"/>
      <c r="AK10" s="52"/>
      <c r="AL10" s="15"/>
      <c r="AM10" s="1"/>
      <c r="AN10" s="1"/>
      <c r="AO10" s="1"/>
    </row>
    <row r="11" spans="2:43" ht="15" thickBot="1" x14ac:dyDescent="0.35">
      <c r="B11" s="27"/>
      <c r="C11" s="325" t="s">
        <v>19</v>
      </c>
      <c r="D11" s="326"/>
      <c r="E11" s="326"/>
      <c r="F11" s="326"/>
      <c r="G11" s="327"/>
      <c r="H11" s="359">
        <v>6</v>
      </c>
      <c r="I11" s="360"/>
      <c r="J11" s="361"/>
      <c r="K11" s="51" t="s">
        <v>1</v>
      </c>
      <c r="L11" s="30"/>
      <c r="M11" s="325" t="s">
        <v>18</v>
      </c>
      <c r="N11" s="326"/>
      <c r="O11" s="326"/>
      <c r="P11" s="326"/>
      <c r="Q11" s="327"/>
      <c r="R11" s="328">
        <v>1</v>
      </c>
      <c r="S11" s="329"/>
      <c r="T11" s="330"/>
      <c r="U11" s="28"/>
      <c r="V11" s="30"/>
      <c r="W11" s="31"/>
      <c r="Y11" s="14"/>
      <c r="Z11" s="331" t="s">
        <v>28</v>
      </c>
      <c r="AA11" s="331"/>
      <c r="AB11" s="331"/>
      <c r="AC11" s="332">
        <f>AC10+AI9</f>
        <v>2122934.1381658809</v>
      </c>
      <c r="AD11" s="332"/>
      <c r="AE11" s="332"/>
      <c r="AF11" s="52"/>
      <c r="AG11" s="52"/>
      <c r="AH11" s="52"/>
      <c r="AI11" s="52"/>
      <c r="AJ11" s="52"/>
      <c r="AK11" s="52"/>
      <c r="AL11" s="15"/>
      <c r="AM11" s="1"/>
      <c r="AN11" s="1"/>
      <c r="AO11" s="1"/>
    </row>
    <row r="12" spans="2:43" ht="15" thickBot="1" x14ac:dyDescent="0.35">
      <c r="B12" s="33"/>
      <c r="C12" s="34"/>
      <c r="D12" s="34"/>
      <c r="E12" s="34"/>
      <c r="F12" s="34"/>
      <c r="G12" s="34"/>
      <c r="H12" s="35"/>
      <c r="I12" s="35"/>
      <c r="J12" s="35"/>
      <c r="K12" s="35"/>
      <c r="L12" s="36"/>
      <c r="M12" s="36"/>
      <c r="N12" s="36"/>
      <c r="O12" s="36"/>
      <c r="P12" s="36"/>
      <c r="Q12" s="36"/>
      <c r="R12" s="36"/>
      <c r="S12" s="36"/>
      <c r="T12" s="35"/>
      <c r="U12" s="35"/>
      <c r="V12" s="316"/>
      <c r="W12" s="317"/>
      <c r="Y12" s="17"/>
      <c r="Z12" s="18"/>
      <c r="AA12" s="18"/>
      <c r="AB12" s="18"/>
      <c r="AC12" s="18"/>
      <c r="AD12" s="18"/>
      <c r="AE12" s="18"/>
      <c r="AF12" s="16"/>
      <c r="AG12" s="16"/>
      <c r="AH12" s="16"/>
      <c r="AI12" s="16"/>
      <c r="AJ12" s="16"/>
      <c r="AK12" s="16"/>
      <c r="AL12" s="19"/>
      <c r="AM12" s="1"/>
      <c r="AN12" s="1"/>
      <c r="AO12" s="1"/>
    </row>
    <row r="13" spans="2:43" ht="15.6" thickTop="1" thickBot="1" x14ac:dyDescent="0.35">
      <c r="B13" s="2"/>
      <c r="AD13" s="1"/>
      <c r="AE13" s="1"/>
      <c r="AF13" s="1"/>
      <c r="AG13" s="1"/>
      <c r="AH13" s="1"/>
      <c r="AI13" s="1"/>
      <c r="AM13" s="1"/>
      <c r="AN13" s="1"/>
    </row>
    <row r="14" spans="2:43" ht="15" thickTop="1" x14ac:dyDescent="0.3">
      <c r="B14" s="42"/>
      <c r="C14" s="43"/>
      <c r="D14" s="43"/>
      <c r="E14" s="43"/>
      <c r="F14" s="43"/>
      <c r="G14" s="43"/>
      <c r="H14" s="43"/>
      <c r="I14" s="43"/>
      <c r="J14" s="43"/>
      <c r="K14" s="43"/>
      <c r="L14" s="43"/>
      <c r="M14" s="43"/>
      <c r="N14" s="43"/>
      <c r="O14" s="43"/>
      <c r="P14" s="43"/>
      <c r="Q14" s="43"/>
      <c r="R14" s="43"/>
      <c r="S14" s="43"/>
      <c r="T14" s="43"/>
      <c r="U14" s="43"/>
      <c r="V14" s="43"/>
      <c r="W14" s="40"/>
      <c r="Y14" s="6"/>
      <c r="Z14" s="45"/>
      <c r="AA14" s="45"/>
      <c r="AB14" s="45"/>
      <c r="AC14" s="45"/>
      <c r="AD14" s="45"/>
      <c r="AE14" s="45"/>
      <c r="AF14" s="45"/>
      <c r="AG14" s="45"/>
      <c r="AH14" s="45"/>
      <c r="AI14" s="45"/>
      <c r="AJ14" s="45"/>
      <c r="AK14" s="45"/>
      <c r="AL14" s="10"/>
      <c r="AM14" s="1"/>
      <c r="AN14" s="1"/>
    </row>
    <row r="15" spans="2:43" ht="15.6" x14ac:dyDescent="0.3">
      <c r="B15" s="44"/>
      <c r="C15" s="318" t="s">
        <v>3</v>
      </c>
      <c r="D15" s="318"/>
      <c r="E15" s="318" t="s">
        <v>5</v>
      </c>
      <c r="F15" s="318"/>
      <c r="G15" s="318"/>
      <c r="H15" s="318" t="s">
        <v>4</v>
      </c>
      <c r="I15" s="318"/>
      <c r="J15" s="318"/>
      <c r="K15" s="318" t="s">
        <v>30</v>
      </c>
      <c r="L15" s="318"/>
      <c r="M15" s="318"/>
      <c r="N15" s="318" t="s">
        <v>31</v>
      </c>
      <c r="O15" s="318"/>
      <c r="P15" s="318"/>
      <c r="Q15" s="318" t="s">
        <v>6</v>
      </c>
      <c r="R15" s="318"/>
      <c r="S15" s="318"/>
      <c r="T15" s="318" t="s">
        <v>2</v>
      </c>
      <c r="U15" s="318"/>
      <c r="V15" s="318"/>
      <c r="W15" s="41"/>
      <c r="X15" s="4"/>
      <c r="Y15" s="46"/>
      <c r="Z15" s="314" t="s">
        <v>12</v>
      </c>
      <c r="AA15" s="314"/>
      <c r="AB15" s="314"/>
      <c r="AC15" s="314"/>
      <c r="AD15" s="314"/>
      <c r="AE15" s="314"/>
      <c r="AF15" s="314"/>
      <c r="AG15" s="314"/>
      <c r="AH15" s="314"/>
      <c r="AI15" s="314"/>
      <c r="AJ15" s="314"/>
      <c r="AK15" s="314"/>
      <c r="AL15" s="20"/>
      <c r="AM15" s="1"/>
      <c r="AN15" s="1"/>
      <c r="AO15" s="1"/>
      <c r="AP15" s="1"/>
      <c r="AQ15" s="1"/>
    </row>
    <row r="16" spans="2:43" x14ac:dyDescent="0.3">
      <c r="B16" s="44"/>
      <c r="C16" s="318"/>
      <c r="D16" s="318"/>
      <c r="E16" s="318"/>
      <c r="F16" s="318"/>
      <c r="G16" s="318"/>
      <c r="H16" s="318"/>
      <c r="I16" s="318"/>
      <c r="J16" s="318"/>
      <c r="K16" s="318"/>
      <c r="L16" s="318"/>
      <c r="M16" s="318"/>
      <c r="N16" s="318"/>
      <c r="O16" s="318"/>
      <c r="P16" s="318"/>
      <c r="Q16" s="318"/>
      <c r="R16" s="318"/>
      <c r="S16" s="318"/>
      <c r="T16" s="318"/>
      <c r="U16" s="318"/>
      <c r="V16" s="318"/>
      <c r="W16" s="41"/>
      <c r="X16" s="1"/>
      <c r="Y16" s="47"/>
      <c r="Z16" s="7"/>
      <c r="AA16" s="7"/>
      <c r="AB16" s="7"/>
      <c r="AC16" s="7"/>
      <c r="AD16" s="7"/>
      <c r="AE16" s="7"/>
      <c r="AF16" s="7"/>
      <c r="AG16" s="7"/>
      <c r="AH16" s="7"/>
      <c r="AI16" s="7"/>
      <c r="AJ16" s="7"/>
      <c r="AK16" s="48"/>
      <c r="AL16" s="20"/>
      <c r="AM16" s="1"/>
      <c r="AN16" s="1"/>
    </row>
    <row r="17" spans="1:43" x14ac:dyDescent="0.3">
      <c r="A17" s="3">
        <v>1</v>
      </c>
      <c r="B17" s="44"/>
      <c r="C17" s="308">
        <f t="shared" ref="C17:C48" si="0">IF(RetirementAge-CurrentAge&gt;=A17,A17,"")</f>
        <v>1</v>
      </c>
      <c r="D17" s="308"/>
      <c r="E17" s="418">
        <f>IF(C17="","",InitialBalance)</f>
        <v>0</v>
      </c>
      <c r="F17" s="418"/>
      <c r="G17" s="418"/>
      <c r="H17" s="418">
        <f t="shared" ref="H17:H48" si="1">IF(C17="","",InitialIncome*POWER((1+IncomeIncreaseRate/100),C17-1))</f>
        <v>120000</v>
      </c>
      <c r="I17" s="418"/>
      <c r="J17" s="418"/>
      <c r="K17" s="420">
        <f t="shared" ref="K17:K48" si="2">IF(C17="","",H17*WithheldRate/100)</f>
        <v>7200</v>
      </c>
      <c r="L17" s="420"/>
      <c r="M17" s="420"/>
      <c r="N17" s="416">
        <f t="shared" ref="N17:N48" si="3">IF(C17="","",H17*EmployerMatchRate/100*MIN(WithheldRate,EmployerMatchUpTo)/100)</f>
        <v>3600</v>
      </c>
      <c r="O17" s="416"/>
      <c r="P17" s="416"/>
      <c r="Q17" s="423">
        <f t="shared" ref="Q17:Q48" si="4">IF(C17="","",-FV(InterestRate/100/PaymentsPerYear,PaymentsPerYear,H17+K17,E17)-(H17+K17+E17))</f>
        <v>1.1641532182693481E-10</v>
      </c>
      <c r="R17" s="423"/>
      <c r="S17" s="423"/>
      <c r="T17" s="424">
        <f>IF(C17="","",E17+K17+N17+Q17)</f>
        <v>10800.000000000116</v>
      </c>
      <c r="U17" s="424"/>
      <c r="V17" s="424"/>
      <c r="W17" s="41"/>
      <c r="X17" s="1"/>
      <c r="Y17" s="47"/>
      <c r="Z17" s="7"/>
      <c r="AA17" s="48"/>
      <c r="AB17" s="48"/>
      <c r="AC17" s="48"/>
      <c r="AD17" s="48"/>
      <c r="AE17" s="48"/>
      <c r="AF17" s="48"/>
      <c r="AG17" s="48"/>
      <c r="AH17" s="48"/>
      <c r="AI17" s="48"/>
      <c r="AJ17" s="48"/>
      <c r="AK17" s="48"/>
      <c r="AL17" s="20"/>
      <c r="AM17" s="1"/>
      <c r="AN17" s="1"/>
    </row>
    <row r="18" spans="1:43" x14ac:dyDescent="0.3">
      <c r="A18" s="3">
        <v>2</v>
      </c>
      <c r="B18" s="44"/>
      <c r="C18" s="303">
        <f t="shared" si="0"/>
        <v>2</v>
      </c>
      <c r="D18" s="303"/>
      <c r="E18" s="419">
        <f>IF(C18="","",T17)</f>
        <v>10800.000000000116</v>
      </c>
      <c r="F18" s="419"/>
      <c r="G18" s="419"/>
      <c r="H18" s="419">
        <f t="shared" si="1"/>
        <v>123600</v>
      </c>
      <c r="I18" s="419"/>
      <c r="J18" s="419"/>
      <c r="K18" s="421">
        <f t="shared" si="2"/>
        <v>7416</v>
      </c>
      <c r="L18" s="421"/>
      <c r="M18" s="421"/>
      <c r="N18" s="417">
        <f t="shared" si="3"/>
        <v>3708</v>
      </c>
      <c r="O18" s="417"/>
      <c r="P18" s="417"/>
      <c r="Q18" s="422">
        <f t="shared" si="4"/>
        <v>756.00000000011642</v>
      </c>
      <c r="R18" s="422"/>
      <c r="S18" s="422"/>
      <c r="T18" s="425">
        <f>IF(C18="","",E18+K18+N18+Q18)</f>
        <v>22680.000000000233</v>
      </c>
      <c r="U18" s="425"/>
      <c r="V18" s="425"/>
      <c r="W18" s="41"/>
      <c r="X18" s="1"/>
      <c r="Y18" s="47"/>
      <c r="Z18" s="7"/>
      <c r="AA18" s="48"/>
      <c r="AB18" s="48"/>
      <c r="AC18" s="48"/>
      <c r="AD18" s="48"/>
      <c r="AE18" s="48"/>
      <c r="AF18" s="48"/>
      <c r="AG18" s="48"/>
      <c r="AH18" s="48"/>
      <c r="AI18" s="48"/>
      <c r="AJ18" s="48"/>
      <c r="AK18" s="48"/>
      <c r="AL18" s="20"/>
      <c r="AM18" s="1"/>
      <c r="AN18" s="1"/>
    </row>
    <row r="19" spans="1:43" x14ac:dyDescent="0.3">
      <c r="A19" s="3">
        <v>3</v>
      </c>
      <c r="B19" s="44"/>
      <c r="C19" s="308">
        <f t="shared" si="0"/>
        <v>3</v>
      </c>
      <c r="D19" s="308"/>
      <c r="E19" s="418">
        <f t="shared" ref="E19:E76" si="5">IF(C19="","",T18)</f>
        <v>22680.000000000233</v>
      </c>
      <c r="F19" s="418"/>
      <c r="G19" s="418"/>
      <c r="H19" s="418">
        <f t="shared" si="1"/>
        <v>127308</v>
      </c>
      <c r="I19" s="418"/>
      <c r="J19" s="418"/>
      <c r="K19" s="420">
        <f t="shared" si="2"/>
        <v>7638.48</v>
      </c>
      <c r="L19" s="420"/>
      <c r="M19" s="420"/>
      <c r="N19" s="416">
        <f t="shared" si="3"/>
        <v>3819.24</v>
      </c>
      <c r="O19" s="416"/>
      <c r="P19" s="416"/>
      <c r="Q19" s="423">
        <f t="shared" si="4"/>
        <v>1587.6000000001222</v>
      </c>
      <c r="R19" s="423"/>
      <c r="S19" s="423"/>
      <c r="T19" s="424">
        <f t="shared" ref="T19:T76" si="6">IF(C19="","",E19+K19+N19+Q19)</f>
        <v>35725.320000000356</v>
      </c>
      <c r="U19" s="424"/>
      <c r="V19" s="424"/>
      <c r="W19" s="41"/>
      <c r="X19" s="1"/>
      <c r="Y19" s="47"/>
      <c r="Z19" s="7"/>
      <c r="AA19" s="7"/>
      <c r="AB19" s="7"/>
      <c r="AC19" s="7"/>
      <c r="AD19" s="7"/>
      <c r="AE19" s="7"/>
      <c r="AF19" s="7"/>
      <c r="AG19" s="7"/>
      <c r="AH19" s="7"/>
      <c r="AI19" s="7"/>
      <c r="AJ19" s="7"/>
      <c r="AK19" s="7"/>
      <c r="AL19" s="9"/>
      <c r="AM19" s="1"/>
      <c r="AN19" s="1"/>
    </row>
    <row r="20" spans="1:43" x14ac:dyDescent="0.3">
      <c r="A20" s="3">
        <v>4</v>
      </c>
      <c r="B20" s="44"/>
      <c r="C20" s="303">
        <f t="shared" si="0"/>
        <v>4</v>
      </c>
      <c r="D20" s="303"/>
      <c r="E20" s="419">
        <f t="shared" si="5"/>
        <v>35725.320000000356</v>
      </c>
      <c r="F20" s="419"/>
      <c r="G20" s="419"/>
      <c r="H20" s="419">
        <f t="shared" si="1"/>
        <v>131127.24</v>
      </c>
      <c r="I20" s="419"/>
      <c r="J20" s="419"/>
      <c r="K20" s="421">
        <f t="shared" si="2"/>
        <v>7867.634399999999</v>
      </c>
      <c r="L20" s="421"/>
      <c r="M20" s="421"/>
      <c r="N20" s="417">
        <f t="shared" si="3"/>
        <v>3933.8171999999995</v>
      </c>
      <c r="O20" s="417"/>
      <c r="P20" s="417"/>
      <c r="Q20" s="422">
        <f t="shared" si="4"/>
        <v>2500.7724000001617</v>
      </c>
      <c r="R20" s="422"/>
      <c r="S20" s="422"/>
      <c r="T20" s="425">
        <f t="shared" si="6"/>
        <v>50027.544000000511</v>
      </c>
      <c r="U20" s="425"/>
      <c r="V20" s="425"/>
      <c r="W20" s="41"/>
      <c r="X20" s="1"/>
      <c r="Y20" s="47"/>
      <c r="Z20" s="7"/>
      <c r="AA20" s="7"/>
      <c r="AB20" s="7"/>
      <c r="AC20" s="7"/>
      <c r="AD20" s="7"/>
      <c r="AE20" s="7"/>
      <c r="AF20" s="7"/>
      <c r="AG20" s="7"/>
      <c r="AH20" s="7"/>
      <c r="AI20" s="7"/>
      <c r="AJ20" s="7"/>
      <c r="AK20" s="7"/>
      <c r="AL20" s="9"/>
      <c r="AM20" s="1"/>
      <c r="AN20" s="1"/>
    </row>
    <row r="21" spans="1:43" x14ac:dyDescent="0.3">
      <c r="A21" s="3">
        <v>5</v>
      </c>
      <c r="B21" s="44"/>
      <c r="C21" s="308">
        <f t="shared" si="0"/>
        <v>5</v>
      </c>
      <c r="D21" s="308"/>
      <c r="E21" s="418">
        <f t="shared" si="5"/>
        <v>50027.544000000511</v>
      </c>
      <c r="F21" s="418"/>
      <c r="G21" s="418"/>
      <c r="H21" s="418">
        <f t="shared" si="1"/>
        <v>135061.05719999998</v>
      </c>
      <c r="I21" s="418"/>
      <c r="J21" s="418"/>
      <c r="K21" s="420">
        <f t="shared" si="2"/>
        <v>8103.6634319999985</v>
      </c>
      <c r="L21" s="420"/>
      <c r="M21" s="420"/>
      <c r="N21" s="416">
        <f t="shared" si="3"/>
        <v>4051.8317159999992</v>
      </c>
      <c r="O21" s="416"/>
      <c r="P21" s="416"/>
      <c r="Q21" s="423">
        <f t="shared" si="4"/>
        <v>3501.9280800001579</v>
      </c>
      <c r="R21" s="423"/>
      <c r="S21" s="423"/>
      <c r="T21" s="424">
        <f t="shared" si="6"/>
        <v>65684.967228000663</v>
      </c>
      <c r="U21" s="424"/>
      <c r="V21" s="424"/>
      <c r="W21" s="41"/>
      <c r="X21" s="1"/>
      <c r="Y21" s="47"/>
      <c r="Z21" s="7"/>
      <c r="AA21" s="7"/>
      <c r="AB21" s="7"/>
      <c r="AC21" s="7"/>
      <c r="AD21" s="7"/>
      <c r="AE21" s="7"/>
      <c r="AF21" s="7"/>
      <c r="AG21" s="7"/>
      <c r="AH21" s="7"/>
      <c r="AI21" s="7"/>
      <c r="AJ21" s="7"/>
      <c r="AK21" s="7"/>
      <c r="AL21" s="9"/>
      <c r="AM21" s="1"/>
      <c r="AN21" s="1"/>
    </row>
    <row r="22" spans="1:43" x14ac:dyDescent="0.3">
      <c r="A22" s="3">
        <v>6</v>
      </c>
      <c r="B22" s="44"/>
      <c r="C22" s="303">
        <f t="shared" si="0"/>
        <v>6</v>
      </c>
      <c r="D22" s="303"/>
      <c r="E22" s="419">
        <f t="shared" si="5"/>
        <v>65684.967228000663</v>
      </c>
      <c r="F22" s="419"/>
      <c r="G22" s="419"/>
      <c r="H22" s="419">
        <f t="shared" si="1"/>
        <v>139112.88891599997</v>
      </c>
      <c r="I22" s="419"/>
      <c r="J22" s="419"/>
      <c r="K22" s="421">
        <f t="shared" si="2"/>
        <v>8346.7733349599985</v>
      </c>
      <c r="L22" s="421"/>
      <c r="M22" s="421"/>
      <c r="N22" s="417">
        <f t="shared" si="3"/>
        <v>4173.3866674799992</v>
      </c>
      <c r="O22" s="417"/>
      <c r="P22" s="417"/>
      <c r="Q22" s="422">
        <f t="shared" si="4"/>
        <v>4597.9477059601631</v>
      </c>
      <c r="R22" s="422"/>
      <c r="S22" s="422"/>
      <c r="T22" s="425">
        <f t="shared" si="6"/>
        <v>82803.074936400822</v>
      </c>
      <c r="U22" s="425"/>
      <c r="V22" s="425"/>
      <c r="W22" s="41"/>
      <c r="X22" s="1"/>
      <c r="Y22" s="47"/>
      <c r="Z22" s="7"/>
      <c r="AA22" s="7"/>
      <c r="AB22" s="7"/>
      <c r="AC22" s="7"/>
      <c r="AD22" s="7"/>
      <c r="AE22" s="7"/>
      <c r="AF22" s="7"/>
      <c r="AG22" s="7"/>
      <c r="AH22" s="7"/>
      <c r="AI22" s="7"/>
      <c r="AJ22" s="7"/>
      <c r="AK22" s="7"/>
      <c r="AL22" s="9"/>
      <c r="AM22" s="1"/>
      <c r="AN22" s="1"/>
    </row>
    <row r="23" spans="1:43" x14ac:dyDescent="0.3">
      <c r="A23" s="3">
        <v>7</v>
      </c>
      <c r="B23" s="44"/>
      <c r="C23" s="308">
        <f t="shared" si="0"/>
        <v>7</v>
      </c>
      <c r="D23" s="308"/>
      <c r="E23" s="418">
        <f t="shared" si="5"/>
        <v>82803.074936400822</v>
      </c>
      <c r="F23" s="418"/>
      <c r="G23" s="418"/>
      <c r="H23" s="418">
        <f t="shared" si="1"/>
        <v>143286.27558347999</v>
      </c>
      <c r="I23" s="418"/>
      <c r="J23" s="418"/>
      <c r="K23" s="420">
        <f t="shared" si="2"/>
        <v>8597.176535008799</v>
      </c>
      <c r="L23" s="420"/>
      <c r="M23" s="420"/>
      <c r="N23" s="416">
        <f t="shared" si="3"/>
        <v>4298.5882675043995</v>
      </c>
      <c r="O23" s="416"/>
      <c r="P23" s="416"/>
      <c r="Q23" s="423">
        <f t="shared" si="4"/>
        <v>5796.2152455482283</v>
      </c>
      <c r="R23" s="423"/>
      <c r="S23" s="423"/>
      <c r="T23" s="424">
        <f t="shared" si="6"/>
        <v>101495.05498446224</v>
      </c>
      <c r="U23" s="424"/>
      <c r="V23" s="424"/>
      <c r="W23" s="41"/>
      <c r="X23" s="1"/>
      <c r="Y23" s="47"/>
      <c r="Z23" s="7"/>
      <c r="AA23" s="7"/>
      <c r="AB23" s="7"/>
      <c r="AC23" s="7"/>
      <c r="AD23" s="7"/>
      <c r="AE23" s="7"/>
      <c r="AF23" s="7"/>
      <c r="AG23" s="7"/>
      <c r="AH23" s="7"/>
      <c r="AI23" s="7"/>
      <c r="AJ23" s="7"/>
      <c r="AK23" s="7"/>
      <c r="AL23" s="9"/>
      <c r="AM23" s="1"/>
      <c r="AN23" s="1"/>
    </row>
    <row r="24" spans="1:43" x14ac:dyDescent="0.3">
      <c r="A24" s="3">
        <v>8</v>
      </c>
      <c r="B24" s="44"/>
      <c r="C24" s="303">
        <f t="shared" si="0"/>
        <v>8</v>
      </c>
      <c r="D24" s="303"/>
      <c r="E24" s="419">
        <f t="shared" si="5"/>
        <v>101495.05498446224</v>
      </c>
      <c r="F24" s="419"/>
      <c r="G24" s="419"/>
      <c r="H24" s="419">
        <f t="shared" si="1"/>
        <v>147584.8638509844</v>
      </c>
      <c r="I24" s="419"/>
      <c r="J24" s="419"/>
      <c r="K24" s="421">
        <f t="shared" si="2"/>
        <v>8855.0918310590641</v>
      </c>
      <c r="L24" s="421"/>
      <c r="M24" s="421"/>
      <c r="N24" s="417">
        <f t="shared" si="3"/>
        <v>4427.5459155295321</v>
      </c>
      <c r="O24" s="417"/>
      <c r="P24" s="417"/>
      <c r="Q24" s="422">
        <f t="shared" si="4"/>
        <v>7104.6538489125378</v>
      </c>
      <c r="R24" s="422"/>
      <c r="S24" s="422"/>
      <c r="T24" s="425">
        <f t="shared" si="6"/>
        <v>121882.34657996337</v>
      </c>
      <c r="U24" s="425"/>
      <c r="V24" s="425"/>
      <c r="W24" s="41"/>
      <c r="X24" s="1"/>
      <c r="Y24" s="47"/>
      <c r="Z24" s="7"/>
      <c r="AA24" s="7"/>
      <c r="AB24" s="7"/>
      <c r="AC24" s="7"/>
      <c r="AD24" s="7"/>
      <c r="AE24" s="7"/>
      <c r="AF24" s="7"/>
      <c r="AG24" s="7"/>
      <c r="AH24" s="7"/>
      <c r="AI24" s="7"/>
      <c r="AJ24" s="7"/>
      <c r="AK24" s="7"/>
      <c r="AL24" s="9"/>
      <c r="AM24" s="1"/>
      <c r="AN24" s="1"/>
    </row>
    <row r="25" spans="1:43" x14ac:dyDescent="0.3">
      <c r="A25" s="3">
        <v>9</v>
      </c>
      <c r="B25" s="44"/>
      <c r="C25" s="308">
        <f t="shared" si="0"/>
        <v>9</v>
      </c>
      <c r="D25" s="308"/>
      <c r="E25" s="418">
        <f t="shared" si="5"/>
        <v>121882.34657996337</v>
      </c>
      <c r="F25" s="418"/>
      <c r="G25" s="418"/>
      <c r="H25" s="418">
        <f t="shared" si="1"/>
        <v>152012.40976651391</v>
      </c>
      <c r="I25" s="418"/>
      <c r="J25" s="418"/>
      <c r="K25" s="420">
        <f t="shared" si="2"/>
        <v>9120.7445859908348</v>
      </c>
      <c r="L25" s="420"/>
      <c r="M25" s="420"/>
      <c r="N25" s="416">
        <f t="shared" si="3"/>
        <v>4560.3722929954174</v>
      </c>
      <c r="O25" s="416"/>
      <c r="P25" s="416"/>
      <c r="Q25" s="423">
        <f t="shared" si="4"/>
        <v>8531.7642605976434</v>
      </c>
      <c r="R25" s="423"/>
      <c r="S25" s="423"/>
      <c r="T25" s="424">
        <f t="shared" si="6"/>
        <v>144095.22771954726</v>
      </c>
      <c r="U25" s="424"/>
      <c r="V25" s="424"/>
      <c r="W25" s="41"/>
      <c r="X25" s="1"/>
      <c r="Y25" s="47"/>
      <c r="Z25" s="7"/>
      <c r="AA25" s="7"/>
      <c r="AB25" s="7"/>
      <c r="AC25" s="7"/>
      <c r="AD25" s="7"/>
      <c r="AE25" s="7"/>
      <c r="AF25" s="7"/>
      <c r="AG25" s="7"/>
      <c r="AH25" s="7"/>
      <c r="AI25" s="7"/>
      <c r="AJ25" s="7"/>
      <c r="AK25" s="7"/>
      <c r="AL25" s="9"/>
      <c r="AM25" s="1"/>
      <c r="AN25" s="1"/>
      <c r="AO25" s="1"/>
      <c r="AP25" s="1"/>
      <c r="AQ25" s="1"/>
    </row>
    <row r="26" spans="1:43" x14ac:dyDescent="0.3">
      <c r="A26" s="3">
        <v>10</v>
      </c>
      <c r="B26" s="44"/>
      <c r="C26" s="303">
        <f t="shared" si="0"/>
        <v>10</v>
      </c>
      <c r="D26" s="303"/>
      <c r="E26" s="419">
        <f t="shared" si="5"/>
        <v>144095.22771954726</v>
      </c>
      <c r="F26" s="419"/>
      <c r="G26" s="419"/>
      <c r="H26" s="419">
        <f t="shared" si="1"/>
        <v>156572.78205950934</v>
      </c>
      <c r="I26" s="419"/>
      <c r="J26" s="419"/>
      <c r="K26" s="421">
        <f t="shared" si="2"/>
        <v>9394.3669235705602</v>
      </c>
      <c r="L26" s="421"/>
      <c r="M26" s="421"/>
      <c r="N26" s="417">
        <f t="shared" si="3"/>
        <v>4697.1834617852801</v>
      </c>
      <c r="O26" s="417"/>
      <c r="P26" s="417"/>
      <c r="Q26" s="422">
        <f t="shared" si="4"/>
        <v>10086.665940368432</v>
      </c>
      <c r="R26" s="422"/>
      <c r="S26" s="422"/>
      <c r="T26" s="425">
        <f t="shared" si="6"/>
        <v>168273.44404527152</v>
      </c>
      <c r="U26" s="425"/>
      <c r="V26" s="425"/>
      <c r="W26" s="41"/>
      <c r="X26" s="1"/>
      <c r="Y26" s="47"/>
      <c r="Z26" s="7"/>
      <c r="AA26" s="7"/>
      <c r="AB26" s="7"/>
      <c r="AC26" s="7"/>
      <c r="AD26" s="7"/>
      <c r="AE26" s="7"/>
      <c r="AF26" s="7"/>
      <c r="AG26" s="7"/>
      <c r="AH26" s="7"/>
      <c r="AI26" s="7"/>
      <c r="AJ26" s="7"/>
      <c r="AK26" s="7"/>
      <c r="AL26" s="9"/>
      <c r="AM26" s="1"/>
      <c r="AN26" s="1"/>
      <c r="AO26" s="1"/>
      <c r="AP26" s="1"/>
      <c r="AQ26" s="1"/>
    </row>
    <row r="27" spans="1:43" x14ac:dyDescent="0.3">
      <c r="A27" s="3">
        <v>11</v>
      </c>
      <c r="B27" s="44"/>
      <c r="C27" s="308">
        <f t="shared" si="0"/>
        <v>11</v>
      </c>
      <c r="D27" s="308"/>
      <c r="E27" s="418">
        <f t="shared" si="5"/>
        <v>168273.44404527152</v>
      </c>
      <c r="F27" s="418"/>
      <c r="G27" s="418"/>
      <c r="H27" s="418">
        <f t="shared" si="1"/>
        <v>161269.96552129462</v>
      </c>
      <c r="I27" s="418"/>
      <c r="J27" s="418"/>
      <c r="K27" s="420">
        <f t="shared" si="2"/>
        <v>9676.1979312776766</v>
      </c>
      <c r="L27" s="420"/>
      <c r="M27" s="420"/>
      <c r="N27" s="416">
        <f t="shared" si="3"/>
        <v>4838.0989656388383</v>
      </c>
      <c r="O27" s="416"/>
      <c r="P27" s="416"/>
      <c r="Q27" s="423">
        <f t="shared" si="4"/>
        <v>11779.141083169205</v>
      </c>
      <c r="R27" s="423"/>
      <c r="S27" s="423"/>
      <c r="T27" s="424">
        <f t="shared" si="6"/>
        <v>194566.88202535725</v>
      </c>
      <c r="U27" s="424"/>
      <c r="V27" s="424"/>
      <c r="W27" s="41"/>
      <c r="X27" s="1"/>
      <c r="Y27" s="47"/>
      <c r="Z27" s="7"/>
      <c r="AA27" s="7"/>
      <c r="AB27" s="7"/>
      <c r="AC27" s="7"/>
      <c r="AD27" s="7"/>
      <c r="AE27" s="7"/>
      <c r="AF27" s="7"/>
      <c r="AG27" s="7"/>
      <c r="AH27" s="7"/>
      <c r="AI27" s="7"/>
      <c r="AJ27" s="7"/>
      <c r="AK27" s="7"/>
      <c r="AL27" s="9"/>
      <c r="AM27" s="1"/>
      <c r="AN27" s="1"/>
      <c r="AO27" s="1"/>
      <c r="AP27" s="1"/>
      <c r="AQ27" s="1"/>
    </row>
    <row r="28" spans="1:43" x14ac:dyDescent="0.3">
      <c r="A28" s="3">
        <v>12</v>
      </c>
      <c r="B28" s="44"/>
      <c r="C28" s="303">
        <f t="shared" si="0"/>
        <v>12</v>
      </c>
      <c r="D28" s="303"/>
      <c r="E28" s="419">
        <f t="shared" si="5"/>
        <v>194566.88202535725</v>
      </c>
      <c r="F28" s="419"/>
      <c r="G28" s="419"/>
      <c r="H28" s="419">
        <f t="shared" si="1"/>
        <v>166108.06448693346</v>
      </c>
      <c r="I28" s="419"/>
      <c r="J28" s="419"/>
      <c r="K28" s="421">
        <f t="shared" si="2"/>
        <v>9966.4838692160083</v>
      </c>
      <c r="L28" s="421"/>
      <c r="M28" s="421"/>
      <c r="N28" s="417">
        <f t="shared" si="3"/>
        <v>4983.2419346080042</v>
      </c>
      <c r="O28" s="417"/>
      <c r="P28" s="417"/>
      <c r="Q28" s="422">
        <f t="shared" si="4"/>
        <v>13619.681741775188</v>
      </c>
      <c r="R28" s="422"/>
      <c r="S28" s="422"/>
      <c r="T28" s="425">
        <f t="shared" si="6"/>
        <v>223136.28957095643</v>
      </c>
      <c r="U28" s="425"/>
      <c r="V28" s="425"/>
      <c r="W28" s="41"/>
      <c r="X28" s="1"/>
      <c r="Y28" s="47"/>
      <c r="Z28" s="7"/>
      <c r="AA28" s="7"/>
      <c r="AB28" s="7"/>
      <c r="AC28" s="7"/>
      <c r="AD28" s="7"/>
      <c r="AE28" s="7"/>
      <c r="AF28" s="7"/>
      <c r="AG28" s="7"/>
      <c r="AH28" s="7"/>
      <c r="AI28" s="7"/>
      <c r="AJ28" s="7"/>
      <c r="AK28" s="7"/>
      <c r="AL28" s="9"/>
      <c r="AM28" s="1"/>
      <c r="AN28" s="1"/>
      <c r="AO28" s="1"/>
      <c r="AP28" s="1"/>
      <c r="AQ28" s="1"/>
    </row>
    <row r="29" spans="1:43" x14ac:dyDescent="0.3">
      <c r="A29" s="3">
        <v>13</v>
      </c>
      <c r="B29" s="44"/>
      <c r="C29" s="308">
        <f t="shared" si="0"/>
        <v>13</v>
      </c>
      <c r="D29" s="308"/>
      <c r="E29" s="418">
        <f t="shared" si="5"/>
        <v>223136.28957095643</v>
      </c>
      <c r="F29" s="418"/>
      <c r="G29" s="418"/>
      <c r="H29" s="418">
        <f t="shared" si="1"/>
        <v>171091.30642154143</v>
      </c>
      <c r="I29" s="418"/>
      <c r="J29" s="418"/>
      <c r="K29" s="420">
        <f t="shared" si="2"/>
        <v>10265.478385292487</v>
      </c>
      <c r="L29" s="420"/>
      <c r="M29" s="420"/>
      <c r="N29" s="416">
        <f t="shared" si="3"/>
        <v>5132.7391926462433</v>
      </c>
      <c r="O29" s="416"/>
      <c r="P29" s="416"/>
      <c r="Q29" s="423">
        <f t="shared" si="4"/>
        <v>15619.540269967169</v>
      </c>
      <c r="R29" s="423"/>
      <c r="S29" s="423"/>
      <c r="T29" s="424">
        <f t="shared" si="6"/>
        <v>254154.04741886232</v>
      </c>
      <c r="U29" s="424"/>
      <c r="V29" s="424"/>
      <c r="W29" s="41"/>
      <c r="X29" s="1"/>
      <c r="Y29" s="47"/>
      <c r="Z29" s="7"/>
      <c r="AA29" s="7"/>
      <c r="AB29" s="7"/>
      <c r="AC29" s="7"/>
      <c r="AD29" s="7"/>
      <c r="AE29" s="7"/>
      <c r="AF29" s="7"/>
      <c r="AG29" s="7"/>
      <c r="AH29" s="7"/>
      <c r="AI29" s="7"/>
      <c r="AJ29" s="7"/>
      <c r="AK29" s="7"/>
      <c r="AL29" s="9"/>
      <c r="AM29" s="1"/>
      <c r="AN29" s="1"/>
      <c r="AO29" s="1"/>
      <c r="AP29" s="1"/>
      <c r="AQ29" s="1"/>
    </row>
    <row r="30" spans="1:43" x14ac:dyDescent="0.3">
      <c r="A30" s="3">
        <v>14</v>
      </c>
      <c r="B30" s="44"/>
      <c r="C30" s="303">
        <f t="shared" si="0"/>
        <v>14</v>
      </c>
      <c r="D30" s="303"/>
      <c r="E30" s="419">
        <f t="shared" si="5"/>
        <v>254154.04741886232</v>
      </c>
      <c r="F30" s="419"/>
      <c r="G30" s="419"/>
      <c r="H30" s="419">
        <f t="shared" si="1"/>
        <v>176224.04561418766</v>
      </c>
      <c r="I30" s="419"/>
      <c r="J30" s="419"/>
      <c r="K30" s="421">
        <f t="shared" si="2"/>
        <v>10573.442736851261</v>
      </c>
      <c r="L30" s="421"/>
      <c r="M30" s="421"/>
      <c r="N30" s="417">
        <f t="shared" si="3"/>
        <v>5286.7213684256303</v>
      </c>
      <c r="O30" s="417"/>
      <c r="P30" s="417"/>
      <c r="Q30" s="422">
        <f t="shared" si="4"/>
        <v>17790.78331932053</v>
      </c>
      <c r="R30" s="422"/>
      <c r="S30" s="422"/>
      <c r="T30" s="425">
        <f t="shared" si="6"/>
        <v>287804.99484345975</v>
      </c>
      <c r="U30" s="425"/>
      <c r="V30" s="425"/>
      <c r="W30" s="41"/>
      <c r="X30" s="1"/>
      <c r="Y30" s="47"/>
      <c r="Z30" s="315"/>
      <c r="AA30" s="315"/>
      <c r="AB30" s="315"/>
      <c r="AC30" s="315"/>
      <c r="AD30" s="315"/>
      <c r="AE30" s="315"/>
      <c r="AF30" s="315"/>
      <c r="AG30" s="315"/>
      <c r="AH30" s="315"/>
      <c r="AI30" s="315"/>
      <c r="AJ30" s="315"/>
      <c r="AK30" s="315"/>
      <c r="AL30" s="9"/>
      <c r="AM30" s="1"/>
      <c r="AN30" s="1"/>
      <c r="AO30" s="1"/>
    </row>
    <row r="31" spans="1:43" x14ac:dyDescent="0.3">
      <c r="A31" s="3">
        <v>15</v>
      </c>
      <c r="B31" s="44"/>
      <c r="C31" s="308">
        <f t="shared" si="0"/>
        <v>15</v>
      </c>
      <c r="D31" s="308"/>
      <c r="E31" s="418">
        <f t="shared" si="5"/>
        <v>287804.99484345975</v>
      </c>
      <c r="F31" s="418"/>
      <c r="G31" s="418"/>
      <c r="H31" s="418">
        <f t="shared" si="1"/>
        <v>181510.76698261334</v>
      </c>
      <c r="I31" s="418"/>
      <c r="J31" s="418"/>
      <c r="K31" s="420">
        <f t="shared" si="2"/>
        <v>10890.646018956799</v>
      </c>
      <c r="L31" s="420"/>
      <c r="M31" s="420"/>
      <c r="N31" s="416">
        <f t="shared" si="3"/>
        <v>5445.3230094783985</v>
      </c>
      <c r="O31" s="416"/>
      <c r="P31" s="416"/>
      <c r="Q31" s="423">
        <f t="shared" si="4"/>
        <v>20146.349639042397</v>
      </c>
      <c r="R31" s="423"/>
      <c r="S31" s="423"/>
      <c r="T31" s="424">
        <f t="shared" si="6"/>
        <v>324287.31351093733</v>
      </c>
      <c r="U31" s="424"/>
      <c r="V31" s="424"/>
      <c r="W31" s="41"/>
      <c r="X31" s="1"/>
      <c r="Y31" s="47"/>
      <c r="Z31" s="7"/>
      <c r="AA31" s="7"/>
      <c r="AB31" s="7"/>
      <c r="AC31" s="7"/>
      <c r="AD31" s="7"/>
      <c r="AE31" s="7"/>
      <c r="AF31" s="7"/>
      <c r="AG31" s="7"/>
      <c r="AH31" s="7"/>
      <c r="AI31" s="7"/>
      <c r="AJ31" s="7"/>
      <c r="AK31" s="7"/>
      <c r="AL31" s="9"/>
      <c r="AM31" s="1"/>
      <c r="AN31" s="1"/>
      <c r="AO31" s="1"/>
    </row>
    <row r="32" spans="1:43" ht="15.6" x14ac:dyDescent="0.3">
      <c r="A32" s="3">
        <v>16</v>
      </c>
      <c r="B32" s="44"/>
      <c r="C32" s="303">
        <f t="shared" si="0"/>
        <v>16</v>
      </c>
      <c r="D32" s="303"/>
      <c r="E32" s="419">
        <f t="shared" si="5"/>
        <v>324287.31351093733</v>
      </c>
      <c r="F32" s="419"/>
      <c r="G32" s="419"/>
      <c r="H32" s="419">
        <f t="shared" si="1"/>
        <v>186956.08999209173</v>
      </c>
      <c r="I32" s="419"/>
      <c r="J32" s="419"/>
      <c r="K32" s="421">
        <f t="shared" si="2"/>
        <v>11217.365399525503</v>
      </c>
      <c r="L32" s="421"/>
      <c r="M32" s="421"/>
      <c r="N32" s="417">
        <f t="shared" si="3"/>
        <v>5608.6826997627513</v>
      </c>
      <c r="O32" s="417"/>
      <c r="P32" s="417"/>
      <c r="Q32" s="422">
        <f t="shared" si="4"/>
        <v>22700.111945765791</v>
      </c>
      <c r="R32" s="422"/>
      <c r="S32" s="422"/>
      <c r="T32" s="425">
        <f t="shared" si="6"/>
        <v>363813.47355599137</v>
      </c>
      <c r="U32" s="425"/>
      <c r="V32" s="425"/>
      <c r="W32" s="41"/>
      <c r="X32" s="1"/>
      <c r="Y32" s="47"/>
      <c r="Z32" s="314" t="s">
        <v>13</v>
      </c>
      <c r="AA32" s="314"/>
      <c r="AB32" s="314"/>
      <c r="AC32" s="314"/>
      <c r="AD32" s="314"/>
      <c r="AE32" s="314"/>
      <c r="AF32" s="314"/>
      <c r="AG32" s="314"/>
      <c r="AH32" s="314"/>
      <c r="AI32" s="314"/>
      <c r="AJ32" s="314"/>
      <c r="AK32" s="314"/>
      <c r="AL32" s="9"/>
      <c r="AM32" s="1"/>
      <c r="AN32" s="1"/>
      <c r="AO32" s="1"/>
    </row>
    <row r="33" spans="1:41" x14ac:dyDescent="0.3">
      <c r="A33" s="3">
        <v>17</v>
      </c>
      <c r="B33" s="44"/>
      <c r="C33" s="308">
        <f t="shared" si="0"/>
        <v>17</v>
      </c>
      <c r="D33" s="308"/>
      <c r="E33" s="418">
        <f t="shared" si="5"/>
        <v>363813.47355599137</v>
      </c>
      <c r="F33" s="418"/>
      <c r="G33" s="418"/>
      <c r="H33" s="418">
        <f t="shared" si="1"/>
        <v>192564.77269185445</v>
      </c>
      <c r="I33" s="418"/>
      <c r="J33" s="418"/>
      <c r="K33" s="420">
        <f t="shared" si="2"/>
        <v>11553.886361511266</v>
      </c>
      <c r="L33" s="420"/>
      <c r="M33" s="420"/>
      <c r="N33" s="416">
        <f t="shared" si="3"/>
        <v>5776.943180755633</v>
      </c>
      <c r="O33" s="416"/>
      <c r="P33" s="416"/>
      <c r="Q33" s="423">
        <f t="shared" si="4"/>
        <v>25466.943148919614</v>
      </c>
      <c r="R33" s="423"/>
      <c r="S33" s="423"/>
      <c r="T33" s="424">
        <f t="shared" si="6"/>
        <v>406611.24624717789</v>
      </c>
      <c r="U33" s="424"/>
      <c r="V33" s="424"/>
      <c r="W33" s="41"/>
      <c r="X33" s="1"/>
      <c r="Y33" s="47"/>
      <c r="Z33" s="7"/>
      <c r="AA33" s="7"/>
      <c r="AB33" s="7"/>
      <c r="AC33" s="7"/>
      <c r="AD33" s="7"/>
      <c r="AE33" s="7"/>
      <c r="AF33" s="7"/>
      <c r="AG33" s="7"/>
      <c r="AH33" s="7"/>
      <c r="AI33" s="7"/>
      <c r="AJ33" s="7"/>
      <c r="AK33" s="7"/>
      <c r="AL33" s="9"/>
      <c r="AM33" s="1"/>
      <c r="AN33" s="1"/>
      <c r="AO33" s="1"/>
    </row>
    <row r="34" spans="1:41" x14ac:dyDescent="0.3">
      <c r="A34" s="3">
        <v>18</v>
      </c>
      <c r="B34" s="44"/>
      <c r="C34" s="303">
        <f t="shared" si="0"/>
        <v>18</v>
      </c>
      <c r="D34" s="303"/>
      <c r="E34" s="419">
        <f t="shared" si="5"/>
        <v>406611.24624717789</v>
      </c>
      <c r="F34" s="419"/>
      <c r="G34" s="419"/>
      <c r="H34" s="419">
        <f t="shared" si="1"/>
        <v>198341.71587261008</v>
      </c>
      <c r="I34" s="419"/>
      <c r="J34" s="419"/>
      <c r="K34" s="421">
        <f t="shared" si="2"/>
        <v>11900.502952356605</v>
      </c>
      <c r="L34" s="421"/>
      <c r="M34" s="421"/>
      <c r="N34" s="417">
        <f t="shared" si="3"/>
        <v>5950.2514761783023</v>
      </c>
      <c r="O34" s="417"/>
      <c r="P34" s="417"/>
      <c r="Q34" s="422">
        <f t="shared" si="4"/>
        <v>28462.787237302633</v>
      </c>
      <c r="R34" s="422"/>
      <c r="S34" s="422"/>
      <c r="T34" s="425">
        <f t="shared" si="6"/>
        <v>452924.7879130154</v>
      </c>
      <c r="U34" s="425"/>
      <c r="V34" s="425"/>
      <c r="W34" s="41"/>
      <c r="X34" s="1"/>
      <c r="Y34" s="47"/>
      <c r="Z34" s="7"/>
      <c r="AA34" s="7"/>
      <c r="AB34" s="7"/>
      <c r="AC34" s="7"/>
      <c r="AD34" s="7"/>
      <c r="AE34" s="7"/>
      <c r="AF34" s="7"/>
      <c r="AG34" s="7"/>
      <c r="AH34" s="7"/>
      <c r="AI34" s="7"/>
      <c r="AJ34" s="7"/>
      <c r="AK34" s="7"/>
      <c r="AL34" s="9"/>
      <c r="AM34" s="1"/>
      <c r="AN34" s="1"/>
      <c r="AO34" s="1"/>
    </row>
    <row r="35" spans="1:41" x14ac:dyDescent="0.3">
      <c r="A35" s="3">
        <v>19</v>
      </c>
      <c r="B35" s="44"/>
      <c r="C35" s="308">
        <f t="shared" si="0"/>
        <v>19</v>
      </c>
      <c r="D35" s="308"/>
      <c r="E35" s="418">
        <f t="shared" si="5"/>
        <v>452924.7879130154</v>
      </c>
      <c r="F35" s="418"/>
      <c r="G35" s="418"/>
      <c r="H35" s="418">
        <f t="shared" si="1"/>
        <v>204291.9673487884</v>
      </c>
      <c r="I35" s="418"/>
      <c r="J35" s="418"/>
      <c r="K35" s="420">
        <f t="shared" si="2"/>
        <v>12257.518040927303</v>
      </c>
      <c r="L35" s="420"/>
      <c r="M35" s="420"/>
      <c r="N35" s="416">
        <f t="shared" si="3"/>
        <v>6128.7590204636508</v>
      </c>
      <c r="O35" s="416"/>
      <c r="P35" s="416"/>
      <c r="Q35" s="423">
        <f t="shared" si="4"/>
        <v>31704.735153911286</v>
      </c>
      <c r="R35" s="423"/>
      <c r="S35" s="423"/>
      <c r="T35" s="424">
        <f t="shared" si="6"/>
        <v>503015.80012831767</v>
      </c>
      <c r="U35" s="424"/>
      <c r="V35" s="424"/>
      <c r="W35" s="41"/>
      <c r="X35" s="1"/>
      <c r="Y35" s="47"/>
      <c r="Z35" s="7"/>
      <c r="AA35" s="7"/>
      <c r="AB35" s="7"/>
      <c r="AC35" s="7"/>
      <c r="AD35" s="7"/>
      <c r="AE35" s="7"/>
      <c r="AF35" s="7"/>
      <c r="AG35" s="7"/>
      <c r="AH35" s="7"/>
      <c r="AI35" s="7"/>
      <c r="AJ35" s="7"/>
      <c r="AK35" s="7"/>
      <c r="AL35" s="9"/>
      <c r="AM35" s="1"/>
      <c r="AN35" s="1"/>
      <c r="AO35" s="1"/>
    </row>
    <row r="36" spans="1:41" x14ac:dyDescent="0.3">
      <c r="A36" s="3">
        <v>20</v>
      </c>
      <c r="B36" s="44"/>
      <c r="C36" s="303">
        <f t="shared" si="0"/>
        <v>20</v>
      </c>
      <c r="D36" s="303"/>
      <c r="E36" s="419">
        <f t="shared" si="5"/>
        <v>503015.80012831767</v>
      </c>
      <c r="F36" s="419"/>
      <c r="G36" s="419"/>
      <c r="H36" s="419">
        <f t="shared" si="1"/>
        <v>210420.72636925202</v>
      </c>
      <c r="I36" s="419"/>
      <c r="J36" s="419"/>
      <c r="K36" s="421">
        <f t="shared" si="2"/>
        <v>12625.243582155123</v>
      </c>
      <c r="L36" s="421"/>
      <c r="M36" s="421"/>
      <c r="N36" s="417">
        <f t="shared" si="3"/>
        <v>6312.6217910775613</v>
      </c>
      <c r="O36" s="417"/>
      <c r="P36" s="417"/>
      <c r="Q36" s="422">
        <f t="shared" si="4"/>
        <v>35211.106008982402</v>
      </c>
      <c r="R36" s="422"/>
      <c r="S36" s="422"/>
      <c r="T36" s="425">
        <f t="shared" si="6"/>
        <v>557164.77151053282</v>
      </c>
      <c r="U36" s="425"/>
      <c r="V36" s="425"/>
      <c r="W36" s="41"/>
      <c r="X36" s="1"/>
      <c r="Y36" s="47"/>
      <c r="Z36" s="7"/>
      <c r="AA36" s="7"/>
      <c r="AB36" s="7"/>
      <c r="AC36" s="7"/>
      <c r="AD36" s="7"/>
      <c r="AE36" s="7"/>
      <c r="AF36" s="7"/>
      <c r="AG36" s="7"/>
      <c r="AH36" s="7"/>
      <c r="AI36" s="7"/>
      <c r="AJ36" s="7"/>
      <c r="AK36" s="7"/>
      <c r="AL36" s="9"/>
      <c r="AM36" s="1"/>
      <c r="AN36" s="1"/>
      <c r="AO36" s="1"/>
    </row>
    <row r="37" spans="1:41" x14ac:dyDescent="0.3">
      <c r="A37" s="3">
        <v>21</v>
      </c>
      <c r="B37" s="44"/>
      <c r="C37" s="308">
        <f t="shared" si="0"/>
        <v>21</v>
      </c>
      <c r="D37" s="308"/>
      <c r="E37" s="418">
        <f t="shared" si="5"/>
        <v>557164.77151053282</v>
      </c>
      <c r="F37" s="418"/>
      <c r="G37" s="418"/>
      <c r="H37" s="418">
        <f t="shared" si="1"/>
        <v>216733.34816032959</v>
      </c>
      <c r="I37" s="418"/>
      <c r="J37" s="418"/>
      <c r="K37" s="420">
        <f t="shared" si="2"/>
        <v>13004.000889619776</v>
      </c>
      <c r="L37" s="420"/>
      <c r="M37" s="420"/>
      <c r="N37" s="416">
        <f t="shared" si="3"/>
        <v>6502.0004448098889</v>
      </c>
      <c r="O37" s="416"/>
      <c r="P37" s="416"/>
      <c r="Q37" s="423">
        <f t="shared" si="4"/>
        <v>39001.534005737514</v>
      </c>
      <c r="R37" s="423"/>
      <c r="S37" s="423"/>
      <c r="T37" s="424">
        <f t="shared" si="6"/>
        <v>615672.30685070006</v>
      </c>
      <c r="U37" s="424"/>
      <c r="V37" s="424"/>
      <c r="W37" s="41"/>
      <c r="X37" s="1"/>
      <c r="Y37" s="47"/>
      <c r="Z37" s="7"/>
      <c r="AA37" s="7"/>
      <c r="AB37" s="7"/>
      <c r="AC37" s="7"/>
      <c r="AD37" s="7"/>
      <c r="AE37" s="7"/>
      <c r="AF37" s="7"/>
      <c r="AG37" s="7"/>
      <c r="AH37" s="7"/>
      <c r="AI37" s="7"/>
      <c r="AJ37" s="7"/>
      <c r="AK37" s="7"/>
      <c r="AL37" s="9"/>
      <c r="AM37" s="1"/>
      <c r="AN37" s="1"/>
      <c r="AO37" s="1"/>
    </row>
    <row r="38" spans="1:41" x14ac:dyDescent="0.3">
      <c r="A38" s="3">
        <v>22</v>
      </c>
      <c r="B38" s="44"/>
      <c r="C38" s="303">
        <f t="shared" si="0"/>
        <v>22</v>
      </c>
      <c r="D38" s="303"/>
      <c r="E38" s="419">
        <f t="shared" si="5"/>
        <v>615672.30685070006</v>
      </c>
      <c r="F38" s="419"/>
      <c r="G38" s="419"/>
      <c r="H38" s="419">
        <f t="shared" si="1"/>
        <v>223235.34860513944</v>
      </c>
      <c r="I38" s="419"/>
      <c r="J38" s="419"/>
      <c r="K38" s="421">
        <f t="shared" si="2"/>
        <v>13394.120916308368</v>
      </c>
      <c r="L38" s="421"/>
      <c r="M38" s="421"/>
      <c r="N38" s="417">
        <f t="shared" si="3"/>
        <v>6697.0604581541838</v>
      </c>
      <c r="O38" s="417"/>
      <c r="P38" s="417"/>
      <c r="Q38" s="422">
        <f t="shared" si="4"/>
        <v>43097.061479549273</v>
      </c>
      <c r="R38" s="422"/>
      <c r="S38" s="422"/>
      <c r="T38" s="425">
        <f t="shared" si="6"/>
        <v>678860.54970471188</v>
      </c>
      <c r="U38" s="425"/>
      <c r="V38" s="425"/>
      <c r="W38" s="41"/>
      <c r="X38" s="1"/>
      <c r="Y38" s="47"/>
      <c r="Z38" s="7"/>
      <c r="AA38" s="7"/>
      <c r="AB38" s="7"/>
      <c r="AC38" s="7"/>
      <c r="AD38" s="7"/>
      <c r="AE38" s="7"/>
      <c r="AF38" s="7"/>
      <c r="AG38" s="7"/>
      <c r="AH38" s="7"/>
      <c r="AI38" s="7"/>
      <c r="AJ38" s="7"/>
      <c r="AK38" s="7"/>
      <c r="AL38" s="9"/>
      <c r="AM38" s="1"/>
      <c r="AN38" s="1"/>
      <c r="AO38" s="1"/>
    </row>
    <row r="39" spans="1:41" x14ac:dyDescent="0.3">
      <c r="A39" s="3">
        <v>23</v>
      </c>
      <c r="B39" s="44"/>
      <c r="C39" s="308">
        <f t="shared" si="0"/>
        <v>23</v>
      </c>
      <c r="D39" s="308"/>
      <c r="E39" s="418">
        <f t="shared" si="5"/>
        <v>678860.54970471188</v>
      </c>
      <c r="F39" s="418"/>
      <c r="G39" s="418"/>
      <c r="H39" s="418">
        <f t="shared" si="1"/>
        <v>229932.40906329366</v>
      </c>
      <c r="I39" s="418"/>
      <c r="J39" s="418"/>
      <c r="K39" s="420">
        <f t="shared" si="2"/>
        <v>13795.944543797621</v>
      </c>
      <c r="L39" s="420"/>
      <c r="M39" s="420"/>
      <c r="N39" s="416">
        <f t="shared" si="3"/>
        <v>6897.9722718988105</v>
      </c>
      <c r="O39" s="416"/>
      <c r="P39" s="416"/>
      <c r="Q39" s="423">
        <f t="shared" si="4"/>
        <v>47520.238479330088</v>
      </c>
      <c r="R39" s="423"/>
      <c r="S39" s="423"/>
      <c r="T39" s="424">
        <f t="shared" si="6"/>
        <v>747074.70499973837</v>
      </c>
      <c r="U39" s="424"/>
      <c r="V39" s="424"/>
      <c r="W39" s="41"/>
      <c r="X39" s="1"/>
      <c r="Y39" s="47"/>
      <c r="Z39" s="7"/>
      <c r="AA39" s="7"/>
      <c r="AB39" s="7"/>
      <c r="AC39" s="7"/>
      <c r="AD39" s="7"/>
      <c r="AE39" s="7"/>
      <c r="AF39" s="7"/>
      <c r="AG39" s="7"/>
      <c r="AH39" s="7"/>
      <c r="AI39" s="7"/>
      <c r="AJ39" s="7"/>
      <c r="AK39" s="7"/>
      <c r="AL39" s="9"/>
      <c r="AM39" s="1"/>
      <c r="AN39" s="1"/>
      <c r="AO39" s="1"/>
    </row>
    <row r="40" spans="1:41" x14ac:dyDescent="0.3">
      <c r="A40" s="3">
        <v>24</v>
      </c>
      <c r="B40" s="44"/>
      <c r="C40" s="303">
        <f t="shared" si="0"/>
        <v>24</v>
      </c>
      <c r="D40" s="303"/>
      <c r="E40" s="419">
        <f t="shared" si="5"/>
        <v>747074.70499973837</v>
      </c>
      <c r="F40" s="419"/>
      <c r="G40" s="419"/>
      <c r="H40" s="419">
        <f t="shared" si="1"/>
        <v>236830.38133519248</v>
      </c>
      <c r="I40" s="419"/>
      <c r="J40" s="419"/>
      <c r="K40" s="421">
        <f t="shared" si="2"/>
        <v>14209.822880111549</v>
      </c>
      <c r="L40" s="421"/>
      <c r="M40" s="421"/>
      <c r="N40" s="417">
        <f t="shared" si="3"/>
        <v>7104.9114400557746</v>
      </c>
      <c r="O40" s="417"/>
      <c r="P40" s="417"/>
      <c r="Q40" s="422">
        <f t="shared" si="4"/>
        <v>52295.229349981993</v>
      </c>
      <c r="R40" s="422"/>
      <c r="S40" s="422"/>
      <c r="T40" s="425">
        <f t="shared" si="6"/>
        <v>820684.6686698877</v>
      </c>
      <c r="U40" s="425"/>
      <c r="V40" s="425"/>
      <c r="W40" s="41"/>
      <c r="X40" s="1"/>
      <c r="Y40" s="47"/>
      <c r="Z40" s="7"/>
      <c r="AA40" s="7"/>
      <c r="AB40" s="7"/>
      <c r="AC40" s="7"/>
      <c r="AD40" s="7"/>
      <c r="AE40" s="7"/>
      <c r="AF40" s="7"/>
      <c r="AG40" s="7"/>
      <c r="AH40" s="7"/>
      <c r="AI40" s="7"/>
      <c r="AJ40" s="7"/>
      <c r="AK40" s="7"/>
      <c r="AL40" s="9"/>
      <c r="AM40" s="1"/>
      <c r="AN40" s="1"/>
      <c r="AO40" s="1"/>
    </row>
    <row r="41" spans="1:41" x14ac:dyDescent="0.3">
      <c r="A41" s="3">
        <v>25</v>
      </c>
      <c r="B41" s="44"/>
      <c r="C41" s="308">
        <f t="shared" si="0"/>
        <v>25</v>
      </c>
      <c r="D41" s="308"/>
      <c r="E41" s="418">
        <f t="shared" si="5"/>
        <v>820684.6686698877</v>
      </c>
      <c r="F41" s="418"/>
      <c r="G41" s="418"/>
      <c r="H41" s="418">
        <f t="shared" si="1"/>
        <v>243935.29277524821</v>
      </c>
      <c r="I41" s="418"/>
      <c r="J41" s="418"/>
      <c r="K41" s="420">
        <f t="shared" si="2"/>
        <v>14636.117566514893</v>
      </c>
      <c r="L41" s="420"/>
      <c r="M41" s="420"/>
      <c r="N41" s="416">
        <f t="shared" si="3"/>
        <v>7318.0587832574465</v>
      </c>
      <c r="O41" s="416"/>
      <c r="P41" s="416"/>
      <c r="Q41" s="423">
        <f t="shared" si="4"/>
        <v>57447.926806892501</v>
      </c>
      <c r="R41" s="423"/>
      <c r="S41" s="423"/>
      <c r="T41" s="424">
        <f t="shared" si="6"/>
        <v>900086.77182655258</v>
      </c>
      <c r="U41" s="424"/>
      <c r="V41" s="424"/>
      <c r="W41" s="41"/>
      <c r="X41" s="1"/>
      <c r="Y41" s="47"/>
      <c r="Z41" s="7"/>
      <c r="AA41" s="7"/>
      <c r="AB41" s="7"/>
      <c r="AC41" s="7"/>
      <c r="AD41" s="7"/>
      <c r="AE41" s="7"/>
      <c r="AF41" s="7"/>
      <c r="AG41" s="7"/>
      <c r="AH41" s="7"/>
      <c r="AI41" s="7"/>
      <c r="AJ41" s="7"/>
      <c r="AK41" s="7"/>
      <c r="AL41" s="9"/>
      <c r="AM41" s="1"/>
      <c r="AN41" s="1"/>
      <c r="AO41" s="1"/>
    </row>
    <row r="42" spans="1:41" x14ac:dyDescent="0.3">
      <c r="A42" s="3">
        <v>26</v>
      </c>
      <c r="B42" s="44"/>
      <c r="C42" s="303">
        <f t="shared" si="0"/>
        <v>26</v>
      </c>
      <c r="D42" s="303"/>
      <c r="E42" s="419">
        <f t="shared" si="5"/>
        <v>900086.77182655258</v>
      </c>
      <c r="F42" s="419"/>
      <c r="G42" s="419"/>
      <c r="H42" s="419">
        <f t="shared" si="1"/>
        <v>251253.35155850567</v>
      </c>
      <c r="I42" s="419"/>
      <c r="J42" s="419"/>
      <c r="K42" s="421">
        <f t="shared" si="2"/>
        <v>15075.201093510341</v>
      </c>
      <c r="L42" s="421"/>
      <c r="M42" s="421"/>
      <c r="N42" s="417">
        <f t="shared" si="3"/>
        <v>7537.6005467551704</v>
      </c>
      <c r="O42" s="417"/>
      <c r="P42" s="417"/>
      <c r="Q42" s="422">
        <f t="shared" si="4"/>
        <v>63006.07402785914</v>
      </c>
      <c r="R42" s="422"/>
      <c r="S42" s="422"/>
      <c r="T42" s="425">
        <f t="shared" si="6"/>
        <v>985705.64749467722</v>
      </c>
      <c r="U42" s="425"/>
      <c r="V42" s="425"/>
      <c r="W42" s="41"/>
      <c r="X42" s="1"/>
      <c r="Y42" s="47"/>
      <c r="Z42" s="7"/>
      <c r="AA42" s="7"/>
      <c r="AB42" s="7"/>
      <c r="AC42" s="7"/>
      <c r="AD42" s="7"/>
      <c r="AE42" s="7"/>
      <c r="AF42" s="7"/>
      <c r="AG42" s="7"/>
      <c r="AH42" s="7"/>
      <c r="AI42" s="7"/>
      <c r="AJ42" s="7"/>
      <c r="AK42" s="7"/>
      <c r="AL42" s="9"/>
      <c r="AM42" s="1"/>
      <c r="AN42" s="1"/>
      <c r="AO42" s="1"/>
    </row>
    <row r="43" spans="1:41" x14ac:dyDescent="0.3">
      <c r="A43" s="3">
        <v>27</v>
      </c>
      <c r="B43" s="44"/>
      <c r="C43" s="308">
        <f t="shared" si="0"/>
        <v>27</v>
      </c>
      <c r="D43" s="308"/>
      <c r="E43" s="418">
        <f t="shared" si="5"/>
        <v>985705.64749467722</v>
      </c>
      <c r="F43" s="418"/>
      <c r="G43" s="418"/>
      <c r="H43" s="418">
        <f t="shared" si="1"/>
        <v>258790.95210526086</v>
      </c>
      <c r="I43" s="418"/>
      <c r="J43" s="418"/>
      <c r="K43" s="420">
        <f t="shared" si="2"/>
        <v>15527.45712631565</v>
      </c>
      <c r="L43" s="420"/>
      <c r="M43" s="420"/>
      <c r="N43" s="416">
        <f t="shared" si="3"/>
        <v>7763.7285631578252</v>
      </c>
      <c r="O43" s="416"/>
      <c r="P43" s="416"/>
      <c r="Q43" s="423">
        <f t="shared" si="4"/>
        <v>68999.395324627869</v>
      </c>
      <c r="R43" s="423"/>
      <c r="S43" s="423"/>
      <c r="T43" s="424">
        <f t="shared" si="6"/>
        <v>1077996.2285087786</v>
      </c>
      <c r="U43" s="424"/>
      <c r="V43" s="424"/>
      <c r="W43" s="41"/>
      <c r="X43" s="1"/>
      <c r="Y43" s="47"/>
      <c r="Z43" s="7"/>
      <c r="AA43" s="7"/>
      <c r="AB43" s="7"/>
      <c r="AC43" s="7"/>
      <c r="AD43" s="7"/>
      <c r="AE43" s="7"/>
      <c r="AF43" s="7"/>
      <c r="AG43" s="7"/>
      <c r="AH43" s="7"/>
      <c r="AI43" s="7"/>
      <c r="AJ43" s="7"/>
      <c r="AK43" s="7"/>
      <c r="AL43" s="9"/>
      <c r="AM43" s="1"/>
      <c r="AN43" s="1"/>
      <c r="AO43" s="1"/>
    </row>
    <row r="44" spans="1:41" x14ac:dyDescent="0.3">
      <c r="A44" s="3">
        <v>28</v>
      </c>
      <c r="B44" s="44"/>
      <c r="C44" s="303">
        <f t="shared" si="0"/>
        <v>28</v>
      </c>
      <c r="D44" s="303"/>
      <c r="E44" s="419">
        <f t="shared" si="5"/>
        <v>1077996.2285087786</v>
      </c>
      <c r="F44" s="419"/>
      <c r="G44" s="419"/>
      <c r="H44" s="419">
        <f t="shared" si="1"/>
        <v>266554.68066841864</v>
      </c>
      <c r="I44" s="419"/>
      <c r="J44" s="419"/>
      <c r="K44" s="421">
        <f t="shared" si="2"/>
        <v>15993.280840105119</v>
      </c>
      <c r="L44" s="421"/>
      <c r="M44" s="421"/>
      <c r="N44" s="417">
        <f t="shared" si="3"/>
        <v>7996.6404200525594</v>
      </c>
      <c r="O44" s="417"/>
      <c r="P44" s="417"/>
      <c r="Q44" s="422">
        <f t="shared" si="4"/>
        <v>75459.735995614901</v>
      </c>
      <c r="R44" s="422"/>
      <c r="S44" s="422"/>
      <c r="T44" s="425">
        <f t="shared" si="6"/>
        <v>1177445.8857645511</v>
      </c>
      <c r="U44" s="425"/>
      <c r="V44" s="425"/>
      <c r="W44" s="41"/>
      <c r="X44" s="1"/>
      <c r="Y44" s="47"/>
      <c r="Z44" s="7"/>
      <c r="AA44" s="7"/>
      <c r="AB44" s="7"/>
      <c r="AC44" s="7"/>
      <c r="AD44" s="7"/>
      <c r="AE44" s="7"/>
      <c r="AF44" s="7"/>
      <c r="AG44" s="7"/>
      <c r="AH44" s="7"/>
      <c r="AI44" s="7"/>
      <c r="AJ44" s="7"/>
      <c r="AK44" s="7"/>
      <c r="AL44" s="9"/>
      <c r="AM44" s="1"/>
      <c r="AN44" s="1"/>
      <c r="AO44" s="1"/>
    </row>
    <row r="45" spans="1:41" x14ac:dyDescent="0.3">
      <c r="A45" s="3">
        <v>29</v>
      </c>
      <c r="B45" s="44"/>
      <c r="C45" s="308">
        <f t="shared" si="0"/>
        <v>29</v>
      </c>
      <c r="D45" s="308"/>
      <c r="E45" s="418">
        <f t="shared" si="5"/>
        <v>1177445.8857645511</v>
      </c>
      <c r="F45" s="418"/>
      <c r="G45" s="418"/>
      <c r="H45" s="418">
        <f t="shared" si="1"/>
        <v>274551.32108847122</v>
      </c>
      <c r="I45" s="418"/>
      <c r="J45" s="418"/>
      <c r="K45" s="420">
        <f t="shared" si="2"/>
        <v>16473.079265308272</v>
      </c>
      <c r="L45" s="420"/>
      <c r="M45" s="420"/>
      <c r="N45" s="416">
        <f t="shared" si="3"/>
        <v>8236.5396326541359</v>
      </c>
      <c r="O45" s="416"/>
      <c r="P45" s="416"/>
      <c r="Q45" s="423">
        <f t="shared" si="4"/>
        <v>82421.212003518827</v>
      </c>
      <c r="R45" s="423"/>
      <c r="S45" s="423"/>
      <c r="T45" s="424">
        <f t="shared" si="6"/>
        <v>1284576.7166660323</v>
      </c>
      <c r="U45" s="424"/>
      <c r="V45" s="424"/>
      <c r="W45" s="41"/>
      <c r="X45" s="1"/>
      <c r="Y45" s="47"/>
      <c r="Z45" s="7"/>
      <c r="AA45" s="7"/>
      <c r="AB45" s="7"/>
      <c r="AC45" s="7"/>
      <c r="AD45" s="7"/>
      <c r="AE45" s="7"/>
      <c r="AF45" s="7"/>
      <c r="AG45" s="7"/>
      <c r="AH45" s="7"/>
      <c r="AI45" s="7"/>
      <c r="AJ45" s="7"/>
      <c r="AK45" s="7"/>
      <c r="AL45" s="9"/>
      <c r="AM45" s="1"/>
      <c r="AN45" s="1"/>
      <c r="AO45" s="1"/>
    </row>
    <row r="46" spans="1:41" x14ac:dyDescent="0.3">
      <c r="A46" s="3">
        <v>30</v>
      </c>
      <c r="B46" s="44"/>
      <c r="C46" s="303">
        <f t="shared" si="0"/>
        <v>30</v>
      </c>
      <c r="D46" s="303"/>
      <c r="E46" s="419">
        <f t="shared" si="5"/>
        <v>1284576.7166660323</v>
      </c>
      <c r="F46" s="419"/>
      <c r="G46" s="419"/>
      <c r="H46" s="419">
        <f t="shared" si="1"/>
        <v>282787.86072112533</v>
      </c>
      <c r="I46" s="419"/>
      <c r="J46" s="419"/>
      <c r="K46" s="421">
        <f t="shared" si="2"/>
        <v>16967.271643267522</v>
      </c>
      <c r="L46" s="421"/>
      <c r="M46" s="421"/>
      <c r="N46" s="417">
        <f t="shared" si="3"/>
        <v>8483.6358216337612</v>
      </c>
      <c r="O46" s="417"/>
      <c r="P46" s="417"/>
      <c r="Q46" s="422">
        <f t="shared" si="4"/>
        <v>89920.370166622568</v>
      </c>
      <c r="R46" s="422"/>
      <c r="S46" s="422"/>
      <c r="T46" s="425">
        <f t="shared" si="6"/>
        <v>1399947.9942975561</v>
      </c>
      <c r="U46" s="425"/>
      <c r="V46" s="425"/>
      <c r="W46" s="41"/>
      <c r="X46" s="1"/>
      <c r="Y46" s="47"/>
      <c r="Z46" s="7"/>
      <c r="AA46" s="7"/>
      <c r="AB46" s="7"/>
      <c r="AC46" s="7"/>
      <c r="AD46" s="7"/>
      <c r="AE46" s="7"/>
      <c r="AF46" s="7"/>
      <c r="AG46" s="7"/>
      <c r="AH46" s="7"/>
      <c r="AI46" s="7"/>
      <c r="AJ46" s="7"/>
      <c r="AK46" s="7"/>
      <c r="AL46" s="9"/>
      <c r="AM46" s="1"/>
      <c r="AN46" s="1"/>
      <c r="AO46" s="1"/>
    </row>
    <row r="47" spans="1:41" x14ac:dyDescent="0.3">
      <c r="A47" s="3">
        <v>31</v>
      </c>
      <c r="B47" s="44"/>
      <c r="C47" s="308">
        <f t="shared" si="0"/>
        <v>31</v>
      </c>
      <c r="D47" s="308"/>
      <c r="E47" s="418">
        <f t="shared" si="5"/>
        <v>1399947.9942975561</v>
      </c>
      <c r="F47" s="418"/>
      <c r="G47" s="418"/>
      <c r="H47" s="418">
        <f t="shared" si="1"/>
        <v>291271.49654275907</v>
      </c>
      <c r="I47" s="418"/>
      <c r="J47" s="418"/>
      <c r="K47" s="420">
        <f t="shared" si="2"/>
        <v>17476.289792565545</v>
      </c>
      <c r="L47" s="420"/>
      <c r="M47" s="420"/>
      <c r="N47" s="416">
        <f t="shared" si="3"/>
        <v>8738.1448962827726</v>
      </c>
      <c r="O47" s="416"/>
      <c r="P47" s="416"/>
      <c r="Q47" s="423">
        <f t="shared" si="4"/>
        <v>97996.359600829193</v>
      </c>
      <c r="R47" s="423"/>
      <c r="S47" s="423"/>
      <c r="T47" s="424">
        <f t="shared" si="6"/>
        <v>1524158.7885872338</v>
      </c>
      <c r="U47" s="424"/>
      <c r="V47" s="424"/>
      <c r="W47" s="41"/>
      <c r="X47" s="1"/>
      <c r="Y47" s="47"/>
      <c r="Z47" s="7"/>
      <c r="AA47" s="7"/>
      <c r="AB47" s="7"/>
      <c r="AC47" s="7"/>
      <c r="AD47" s="7"/>
      <c r="AE47" s="7"/>
      <c r="AF47" s="7"/>
      <c r="AG47" s="7"/>
      <c r="AH47" s="7"/>
      <c r="AI47" s="7"/>
      <c r="AJ47" s="7"/>
      <c r="AK47" s="7"/>
      <c r="AL47" s="9"/>
      <c r="AM47" s="1"/>
      <c r="AN47" s="1"/>
      <c r="AO47" s="1"/>
    </row>
    <row r="48" spans="1:41" ht="15.6" x14ac:dyDescent="0.3">
      <c r="A48" s="3">
        <v>32</v>
      </c>
      <c r="B48" s="44"/>
      <c r="C48" s="303">
        <f t="shared" si="0"/>
        <v>32</v>
      </c>
      <c r="D48" s="303"/>
      <c r="E48" s="419">
        <f t="shared" si="5"/>
        <v>1524158.7885872338</v>
      </c>
      <c r="F48" s="419"/>
      <c r="G48" s="419"/>
      <c r="H48" s="419">
        <f t="shared" si="1"/>
        <v>300009.64143904194</v>
      </c>
      <c r="I48" s="419"/>
      <c r="J48" s="419"/>
      <c r="K48" s="421">
        <f t="shared" si="2"/>
        <v>18000.578486342518</v>
      </c>
      <c r="L48" s="421"/>
      <c r="M48" s="421"/>
      <c r="N48" s="417">
        <f t="shared" si="3"/>
        <v>9000.2892431712589</v>
      </c>
      <c r="O48" s="417"/>
      <c r="P48" s="417"/>
      <c r="Q48" s="422">
        <f t="shared" si="4"/>
        <v>106691.11520110676</v>
      </c>
      <c r="R48" s="422"/>
      <c r="S48" s="422"/>
      <c r="T48" s="425">
        <f t="shared" si="6"/>
        <v>1657850.7715178542</v>
      </c>
      <c r="U48" s="425"/>
      <c r="V48" s="425"/>
      <c r="W48" s="41"/>
      <c r="X48" s="1"/>
      <c r="Y48" s="47"/>
      <c r="Z48" s="314" t="s">
        <v>29</v>
      </c>
      <c r="AA48" s="314"/>
      <c r="AB48" s="314"/>
      <c r="AC48" s="314"/>
      <c r="AD48" s="314"/>
      <c r="AE48" s="314"/>
      <c r="AF48" s="314"/>
      <c r="AG48" s="314"/>
      <c r="AH48" s="314"/>
      <c r="AI48" s="314"/>
      <c r="AJ48" s="314"/>
      <c r="AK48" s="314"/>
      <c r="AL48" s="9"/>
      <c r="AM48" s="1"/>
      <c r="AN48" s="1"/>
      <c r="AO48" s="1"/>
    </row>
    <row r="49" spans="1:41" x14ac:dyDescent="0.3">
      <c r="A49" s="3">
        <v>33</v>
      </c>
      <c r="B49" s="44"/>
      <c r="C49" s="308">
        <f t="shared" ref="C49:C76" si="7">IF(RetirementAge-CurrentAge&gt;=A49,A49,"")</f>
        <v>33</v>
      </c>
      <c r="D49" s="308"/>
      <c r="E49" s="418">
        <f t="shared" si="5"/>
        <v>1657850.7715178542</v>
      </c>
      <c r="F49" s="418"/>
      <c r="G49" s="418"/>
      <c r="H49" s="418">
        <f t="shared" ref="H49:H76" si="8">IF(C49="","",InitialIncome*POWER((1+IncomeIncreaseRate/100),C49-1))</f>
        <v>309009.9306822131</v>
      </c>
      <c r="I49" s="418"/>
      <c r="J49" s="418"/>
      <c r="K49" s="420">
        <f t="shared" ref="K49:K76" si="9">IF(C49="","",H49*WithheldRate/100)</f>
        <v>18540.595840932787</v>
      </c>
      <c r="L49" s="420"/>
      <c r="M49" s="420"/>
      <c r="N49" s="416">
        <f t="shared" ref="N49:N76" si="10">IF(C49="","",H49*EmployerMatchRate/100*MIN(WithheldRate,EmployerMatchUpTo)/100)</f>
        <v>9270.2979204663934</v>
      </c>
      <c r="O49" s="416"/>
      <c r="P49" s="416"/>
      <c r="Q49" s="423">
        <f t="shared" ref="Q49:Q76" si="11">IF(C49="","",-FV(InterestRate/100/PaymentsPerYear,PaymentsPerYear,H49+K49,E49)-(H49+K49+E49))</f>
        <v>116049.55400625011</v>
      </c>
      <c r="R49" s="423"/>
      <c r="S49" s="423"/>
      <c r="T49" s="424">
        <f t="shared" si="6"/>
        <v>1801711.2192855035</v>
      </c>
      <c r="U49" s="424"/>
      <c r="V49" s="424"/>
      <c r="W49" s="41"/>
      <c r="X49" s="1"/>
      <c r="Y49" s="47"/>
      <c r="Z49" s="7"/>
      <c r="AA49" s="7"/>
      <c r="AB49" s="7"/>
      <c r="AC49" s="7"/>
      <c r="AD49" s="7"/>
      <c r="AE49" s="7"/>
      <c r="AF49" s="7"/>
      <c r="AG49" s="7"/>
      <c r="AH49" s="7"/>
      <c r="AI49" s="7"/>
      <c r="AJ49" s="7"/>
      <c r="AK49" s="7"/>
      <c r="AL49" s="9"/>
      <c r="AM49" s="1"/>
      <c r="AN49" s="1"/>
      <c r="AO49" s="1"/>
    </row>
    <row r="50" spans="1:41" x14ac:dyDescent="0.3">
      <c r="A50" s="3">
        <v>34</v>
      </c>
      <c r="B50" s="44"/>
      <c r="C50" s="303">
        <f t="shared" si="7"/>
        <v>34</v>
      </c>
      <c r="D50" s="303"/>
      <c r="E50" s="419">
        <f t="shared" si="5"/>
        <v>1801711.2192855035</v>
      </c>
      <c r="F50" s="419"/>
      <c r="G50" s="419"/>
      <c r="H50" s="419">
        <f t="shared" si="8"/>
        <v>318280.2286026795</v>
      </c>
      <c r="I50" s="419"/>
      <c r="J50" s="419"/>
      <c r="K50" s="421">
        <f t="shared" si="9"/>
        <v>19096.81371616077</v>
      </c>
      <c r="L50" s="421"/>
      <c r="M50" s="421"/>
      <c r="N50" s="417">
        <f t="shared" si="10"/>
        <v>9548.4068580803851</v>
      </c>
      <c r="O50" s="417"/>
      <c r="P50" s="417"/>
      <c r="Q50" s="422">
        <f t="shared" si="11"/>
        <v>126119.78534998605</v>
      </c>
      <c r="R50" s="422"/>
      <c r="S50" s="422"/>
      <c r="T50" s="425">
        <f t="shared" si="6"/>
        <v>1956476.2252097307</v>
      </c>
      <c r="U50" s="425"/>
      <c r="V50" s="425"/>
      <c r="W50" s="41"/>
      <c r="X50" s="1"/>
      <c r="Y50" s="47"/>
      <c r="Z50" s="7"/>
      <c r="AA50" s="7"/>
      <c r="AB50" s="7"/>
      <c r="AC50" s="7"/>
      <c r="AD50" s="7"/>
      <c r="AE50" s="7"/>
      <c r="AF50" s="7"/>
      <c r="AG50" s="7"/>
      <c r="AH50" s="7"/>
      <c r="AI50" s="7"/>
      <c r="AJ50" s="7"/>
      <c r="AK50" s="7"/>
      <c r="AL50" s="9"/>
      <c r="AM50" s="1"/>
      <c r="AN50" s="1"/>
      <c r="AO50" s="1"/>
    </row>
    <row r="51" spans="1:41" x14ac:dyDescent="0.3">
      <c r="A51" s="3">
        <v>35</v>
      </c>
      <c r="B51" s="44"/>
      <c r="C51" s="308">
        <f t="shared" si="7"/>
        <v>35</v>
      </c>
      <c r="D51" s="308"/>
      <c r="E51" s="418">
        <f t="shared" si="5"/>
        <v>1956476.2252097307</v>
      </c>
      <c r="F51" s="418"/>
      <c r="G51" s="418"/>
      <c r="H51" s="418">
        <f t="shared" si="8"/>
        <v>327828.63546075986</v>
      </c>
      <c r="I51" s="418"/>
      <c r="J51" s="418"/>
      <c r="K51" s="420">
        <f t="shared" si="9"/>
        <v>19669.718127645592</v>
      </c>
      <c r="L51" s="420"/>
      <c r="M51" s="420"/>
      <c r="N51" s="416">
        <f t="shared" si="10"/>
        <v>9834.8590638227961</v>
      </c>
      <c r="O51" s="416"/>
      <c r="P51" s="416"/>
      <c r="Q51" s="423">
        <f t="shared" si="11"/>
        <v>136953.33576468145</v>
      </c>
      <c r="R51" s="423"/>
      <c r="S51" s="423"/>
      <c r="T51" s="424">
        <f t="shared" si="6"/>
        <v>2122934.1381658805</v>
      </c>
      <c r="U51" s="424"/>
      <c r="V51" s="424"/>
      <c r="W51" s="41"/>
      <c r="X51" s="1"/>
      <c r="Y51" s="47"/>
      <c r="Z51" s="7"/>
      <c r="AA51" s="7"/>
      <c r="AB51" s="7"/>
      <c r="AC51" s="7"/>
      <c r="AD51" s="7"/>
      <c r="AE51" s="7"/>
      <c r="AF51" s="7"/>
      <c r="AG51" s="7"/>
      <c r="AH51" s="7"/>
      <c r="AI51" s="7"/>
      <c r="AJ51" s="7"/>
      <c r="AK51" s="7"/>
      <c r="AL51" s="9"/>
      <c r="AM51" s="1"/>
      <c r="AN51" s="1"/>
      <c r="AO51" s="1"/>
    </row>
    <row r="52" spans="1:41" x14ac:dyDescent="0.3">
      <c r="A52" s="3">
        <v>36</v>
      </c>
      <c r="B52" s="44"/>
      <c r="C52" s="303" t="str">
        <f t="shared" si="7"/>
        <v/>
      </c>
      <c r="D52" s="303"/>
      <c r="E52" s="419" t="str">
        <f t="shared" si="5"/>
        <v/>
      </c>
      <c r="F52" s="419"/>
      <c r="G52" s="419"/>
      <c r="H52" s="419" t="str">
        <f t="shared" si="8"/>
        <v/>
      </c>
      <c r="I52" s="419"/>
      <c r="J52" s="419"/>
      <c r="K52" s="421" t="str">
        <f t="shared" si="9"/>
        <v/>
      </c>
      <c r="L52" s="421"/>
      <c r="M52" s="421"/>
      <c r="N52" s="417" t="str">
        <f t="shared" si="10"/>
        <v/>
      </c>
      <c r="O52" s="417"/>
      <c r="P52" s="417"/>
      <c r="Q52" s="422" t="str">
        <f t="shared" si="11"/>
        <v/>
      </c>
      <c r="R52" s="422"/>
      <c r="S52" s="422"/>
      <c r="T52" s="425" t="str">
        <f t="shared" si="6"/>
        <v/>
      </c>
      <c r="U52" s="425"/>
      <c r="V52" s="425"/>
      <c r="W52" s="41"/>
      <c r="X52" s="1"/>
      <c r="Y52" s="47"/>
      <c r="Z52" s="7"/>
      <c r="AA52" s="7"/>
      <c r="AB52" s="7"/>
      <c r="AC52" s="7"/>
      <c r="AD52" s="7"/>
      <c r="AE52" s="7"/>
      <c r="AF52" s="7"/>
      <c r="AG52" s="7"/>
      <c r="AH52" s="7"/>
      <c r="AI52" s="7"/>
      <c r="AJ52" s="7"/>
      <c r="AK52" s="7"/>
      <c r="AL52" s="9"/>
      <c r="AM52" s="1"/>
      <c r="AN52" s="1"/>
      <c r="AO52" s="1"/>
    </row>
    <row r="53" spans="1:41" x14ac:dyDescent="0.3">
      <c r="A53" s="3">
        <v>37</v>
      </c>
      <c r="B53" s="44"/>
      <c r="C53" s="308" t="str">
        <f t="shared" si="7"/>
        <v/>
      </c>
      <c r="D53" s="308"/>
      <c r="E53" s="418" t="str">
        <f t="shared" si="5"/>
        <v/>
      </c>
      <c r="F53" s="418"/>
      <c r="G53" s="418"/>
      <c r="H53" s="418" t="str">
        <f t="shared" si="8"/>
        <v/>
      </c>
      <c r="I53" s="418"/>
      <c r="J53" s="418"/>
      <c r="K53" s="420" t="str">
        <f t="shared" si="9"/>
        <v/>
      </c>
      <c r="L53" s="420"/>
      <c r="M53" s="420"/>
      <c r="N53" s="416" t="str">
        <f t="shared" si="10"/>
        <v/>
      </c>
      <c r="O53" s="416"/>
      <c r="P53" s="416"/>
      <c r="Q53" s="423" t="str">
        <f t="shared" si="11"/>
        <v/>
      </c>
      <c r="R53" s="423"/>
      <c r="S53" s="423"/>
      <c r="T53" s="424" t="str">
        <f t="shared" si="6"/>
        <v/>
      </c>
      <c r="U53" s="424"/>
      <c r="V53" s="424"/>
      <c r="W53" s="41"/>
      <c r="X53" s="1"/>
      <c r="Y53" s="47"/>
      <c r="Z53" s="7"/>
      <c r="AA53" s="7"/>
      <c r="AB53" s="7"/>
      <c r="AC53" s="7"/>
      <c r="AD53" s="7"/>
      <c r="AE53" s="7"/>
      <c r="AF53" s="7"/>
      <c r="AG53" s="7"/>
      <c r="AH53" s="7"/>
      <c r="AI53" s="7"/>
      <c r="AJ53" s="7"/>
      <c r="AK53" s="7"/>
      <c r="AL53" s="9"/>
      <c r="AM53" s="1"/>
      <c r="AN53" s="1"/>
      <c r="AO53" s="1"/>
    </row>
    <row r="54" spans="1:41" x14ac:dyDescent="0.3">
      <c r="A54" s="3">
        <v>38</v>
      </c>
      <c r="B54" s="44"/>
      <c r="C54" s="303" t="str">
        <f t="shared" si="7"/>
        <v/>
      </c>
      <c r="D54" s="303"/>
      <c r="E54" s="419" t="str">
        <f t="shared" si="5"/>
        <v/>
      </c>
      <c r="F54" s="419"/>
      <c r="G54" s="419"/>
      <c r="H54" s="419" t="str">
        <f t="shared" si="8"/>
        <v/>
      </c>
      <c r="I54" s="419"/>
      <c r="J54" s="419"/>
      <c r="K54" s="421" t="str">
        <f t="shared" si="9"/>
        <v/>
      </c>
      <c r="L54" s="421"/>
      <c r="M54" s="421"/>
      <c r="N54" s="417" t="str">
        <f t="shared" si="10"/>
        <v/>
      </c>
      <c r="O54" s="417"/>
      <c r="P54" s="417"/>
      <c r="Q54" s="422" t="str">
        <f t="shared" si="11"/>
        <v/>
      </c>
      <c r="R54" s="422"/>
      <c r="S54" s="422"/>
      <c r="T54" s="425" t="str">
        <f t="shared" si="6"/>
        <v/>
      </c>
      <c r="U54" s="425"/>
      <c r="V54" s="425"/>
      <c r="W54" s="41"/>
      <c r="X54" s="1"/>
      <c r="Y54" s="47"/>
      <c r="Z54" s="7"/>
      <c r="AA54" s="7"/>
      <c r="AB54" s="7"/>
      <c r="AC54" s="7"/>
      <c r="AD54" s="7"/>
      <c r="AE54" s="7"/>
      <c r="AF54" s="7"/>
      <c r="AG54" s="7"/>
      <c r="AH54" s="7"/>
      <c r="AI54" s="7"/>
      <c r="AJ54" s="7"/>
      <c r="AK54" s="7"/>
      <c r="AL54" s="9"/>
      <c r="AM54" s="1"/>
      <c r="AN54" s="1"/>
      <c r="AO54" s="1"/>
    </row>
    <row r="55" spans="1:41" x14ac:dyDescent="0.3">
      <c r="A55" s="3">
        <v>39</v>
      </c>
      <c r="B55" s="44"/>
      <c r="C55" s="308" t="str">
        <f t="shared" si="7"/>
        <v/>
      </c>
      <c r="D55" s="308"/>
      <c r="E55" s="418" t="str">
        <f t="shared" si="5"/>
        <v/>
      </c>
      <c r="F55" s="418"/>
      <c r="G55" s="418"/>
      <c r="H55" s="418" t="str">
        <f t="shared" si="8"/>
        <v/>
      </c>
      <c r="I55" s="418"/>
      <c r="J55" s="418"/>
      <c r="K55" s="420" t="str">
        <f t="shared" si="9"/>
        <v/>
      </c>
      <c r="L55" s="420"/>
      <c r="M55" s="420"/>
      <c r="N55" s="416" t="str">
        <f t="shared" si="10"/>
        <v/>
      </c>
      <c r="O55" s="416"/>
      <c r="P55" s="416"/>
      <c r="Q55" s="423" t="str">
        <f t="shared" si="11"/>
        <v/>
      </c>
      <c r="R55" s="423"/>
      <c r="S55" s="423"/>
      <c r="T55" s="424" t="str">
        <f t="shared" si="6"/>
        <v/>
      </c>
      <c r="U55" s="424"/>
      <c r="V55" s="424"/>
      <c r="W55" s="41"/>
      <c r="X55" s="1"/>
      <c r="Y55" s="47"/>
      <c r="Z55" s="7"/>
      <c r="AA55" s="7"/>
      <c r="AB55" s="7"/>
      <c r="AC55" s="7"/>
      <c r="AD55" s="7"/>
      <c r="AE55" s="7"/>
      <c r="AF55" s="7"/>
      <c r="AG55" s="7"/>
      <c r="AH55" s="7"/>
      <c r="AI55" s="7"/>
      <c r="AJ55" s="7"/>
      <c r="AK55" s="7"/>
      <c r="AL55" s="9"/>
      <c r="AM55" s="1"/>
      <c r="AN55" s="1"/>
      <c r="AO55" s="1"/>
    </row>
    <row r="56" spans="1:41" x14ac:dyDescent="0.3">
      <c r="A56" s="3">
        <v>40</v>
      </c>
      <c r="B56" s="44"/>
      <c r="C56" s="303" t="str">
        <f t="shared" si="7"/>
        <v/>
      </c>
      <c r="D56" s="303"/>
      <c r="E56" s="419" t="str">
        <f t="shared" si="5"/>
        <v/>
      </c>
      <c r="F56" s="419"/>
      <c r="G56" s="419"/>
      <c r="H56" s="419" t="str">
        <f t="shared" si="8"/>
        <v/>
      </c>
      <c r="I56" s="419"/>
      <c r="J56" s="419"/>
      <c r="K56" s="421" t="str">
        <f t="shared" si="9"/>
        <v/>
      </c>
      <c r="L56" s="421"/>
      <c r="M56" s="421"/>
      <c r="N56" s="417" t="str">
        <f t="shared" si="10"/>
        <v/>
      </c>
      <c r="O56" s="417"/>
      <c r="P56" s="417"/>
      <c r="Q56" s="422" t="str">
        <f t="shared" si="11"/>
        <v/>
      </c>
      <c r="R56" s="422"/>
      <c r="S56" s="422"/>
      <c r="T56" s="425" t="str">
        <f t="shared" si="6"/>
        <v/>
      </c>
      <c r="U56" s="425"/>
      <c r="V56" s="425"/>
      <c r="W56" s="41"/>
      <c r="X56" s="1"/>
      <c r="Y56" s="47"/>
      <c r="Z56" s="7"/>
      <c r="AA56" s="7"/>
      <c r="AB56" s="7"/>
      <c r="AC56" s="7"/>
      <c r="AD56" s="7"/>
      <c r="AE56" s="7"/>
      <c r="AF56" s="7"/>
      <c r="AG56" s="7"/>
      <c r="AH56" s="7"/>
      <c r="AI56" s="7"/>
      <c r="AJ56" s="7"/>
      <c r="AK56" s="7"/>
      <c r="AL56" s="9"/>
      <c r="AM56" s="1"/>
      <c r="AN56" s="1"/>
      <c r="AO56" s="1"/>
    </row>
    <row r="57" spans="1:41" x14ac:dyDescent="0.3">
      <c r="A57" s="3">
        <v>41</v>
      </c>
      <c r="B57" s="44"/>
      <c r="C57" s="308" t="str">
        <f t="shared" si="7"/>
        <v/>
      </c>
      <c r="D57" s="308"/>
      <c r="E57" s="418" t="str">
        <f t="shared" si="5"/>
        <v/>
      </c>
      <c r="F57" s="418"/>
      <c r="G57" s="418"/>
      <c r="H57" s="418" t="str">
        <f t="shared" si="8"/>
        <v/>
      </c>
      <c r="I57" s="418"/>
      <c r="J57" s="418"/>
      <c r="K57" s="420" t="str">
        <f t="shared" si="9"/>
        <v/>
      </c>
      <c r="L57" s="420"/>
      <c r="M57" s="420"/>
      <c r="N57" s="416" t="str">
        <f t="shared" si="10"/>
        <v/>
      </c>
      <c r="O57" s="416"/>
      <c r="P57" s="416"/>
      <c r="Q57" s="423" t="str">
        <f t="shared" si="11"/>
        <v/>
      </c>
      <c r="R57" s="423"/>
      <c r="S57" s="423"/>
      <c r="T57" s="424" t="str">
        <f t="shared" si="6"/>
        <v/>
      </c>
      <c r="U57" s="424"/>
      <c r="V57" s="424"/>
      <c r="W57" s="41"/>
      <c r="X57" s="1"/>
      <c r="Y57" s="47"/>
      <c r="Z57" s="7"/>
      <c r="AA57" s="7"/>
      <c r="AB57" s="7"/>
      <c r="AC57" s="7"/>
      <c r="AD57" s="7"/>
      <c r="AE57" s="7"/>
      <c r="AF57" s="7"/>
      <c r="AG57" s="7"/>
      <c r="AH57" s="7"/>
      <c r="AI57" s="7"/>
      <c r="AJ57" s="7"/>
      <c r="AK57" s="7"/>
      <c r="AL57" s="9"/>
      <c r="AM57" s="1"/>
      <c r="AN57" s="1"/>
      <c r="AO57" s="1"/>
    </row>
    <row r="58" spans="1:41" x14ac:dyDescent="0.3">
      <c r="A58" s="3">
        <v>42</v>
      </c>
      <c r="B58" s="44"/>
      <c r="C58" s="303" t="str">
        <f t="shared" si="7"/>
        <v/>
      </c>
      <c r="D58" s="303"/>
      <c r="E58" s="419" t="str">
        <f t="shared" si="5"/>
        <v/>
      </c>
      <c r="F58" s="419"/>
      <c r="G58" s="419"/>
      <c r="H58" s="419" t="str">
        <f t="shared" si="8"/>
        <v/>
      </c>
      <c r="I58" s="419"/>
      <c r="J58" s="419"/>
      <c r="K58" s="421" t="str">
        <f t="shared" si="9"/>
        <v/>
      </c>
      <c r="L58" s="421"/>
      <c r="M58" s="421"/>
      <c r="N58" s="417" t="str">
        <f t="shared" si="10"/>
        <v/>
      </c>
      <c r="O58" s="417"/>
      <c r="P58" s="417"/>
      <c r="Q58" s="422" t="str">
        <f t="shared" si="11"/>
        <v/>
      </c>
      <c r="R58" s="422"/>
      <c r="S58" s="422"/>
      <c r="T58" s="425" t="str">
        <f t="shared" si="6"/>
        <v/>
      </c>
      <c r="U58" s="425"/>
      <c r="V58" s="425"/>
      <c r="W58" s="41"/>
      <c r="X58" s="1"/>
      <c r="Y58" s="47"/>
      <c r="Z58" s="7"/>
      <c r="AA58" s="7"/>
      <c r="AB58" s="7"/>
      <c r="AC58" s="7"/>
      <c r="AD58" s="7"/>
      <c r="AE58" s="7"/>
      <c r="AF58" s="7"/>
      <c r="AG58" s="7"/>
      <c r="AH58" s="7"/>
      <c r="AI58" s="7"/>
      <c r="AJ58" s="7"/>
      <c r="AK58" s="7"/>
      <c r="AL58" s="9"/>
      <c r="AM58" s="1"/>
      <c r="AN58" s="1"/>
      <c r="AO58" s="1"/>
    </row>
    <row r="59" spans="1:41" x14ac:dyDescent="0.3">
      <c r="A59" s="3">
        <v>43</v>
      </c>
      <c r="B59" s="44"/>
      <c r="C59" s="308" t="str">
        <f t="shared" si="7"/>
        <v/>
      </c>
      <c r="D59" s="308"/>
      <c r="E59" s="418" t="str">
        <f t="shared" si="5"/>
        <v/>
      </c>
      <c r="F59" s="418"/>
      <c r="G59" s="418"/>
      <c r="H59" s="418" t="str">
        <f t="shared" si="8"/>
        <v/>
      </c>
      <c r="I59" s="418"/>
      <c r="J59" s="418"/>
      <c r="K59" s="420" t="str">
        <f t="shared" si="9"/>
        <v/>
      </c>
      <c r="L59" s="420"/>
      <c r="M59" s="420"/>
      <c r="N59" s="416" t="str">
        <f t="shared" si="10"/>
        <v/>
      </c>
      <c r="O59" s="416"/>
      <c r="P59" s="416"/>
      <c r="Q59" s="423" t="str">
        <f t="shared" si="11"/>
        <v/>
      </c>
      <c r="R59" s="423"/>
      <c r="S59" s="423"/>
      <c r="T59" s="424" t="str">
        <f t="shared" si="6"/>
        <v/>
      </c>
      <c r="U59" s="424"/>
      <c r="V59" s="424"/>
      <c r="W59" s="41"/>
      <c r="X59" s="1"/>
      <c r="Y59" s="47"/>
      <c r="Z59" s="7"/>
      <c r="AA59" s="7"/>
      <c r="AB59" s="7"/>
      <c r="AC59" s="7"/>
      <c r="AD59" s="7"/>
      <c r="AE59" s="7"/>
      <c r="AF59" s="7"/>
      <c r="AG59" s="7"/>
      <c r="AH59" s="7"/>
      <c r="AI59" s="7"/>
      <c r="AJ59" s="7"/>
      <c r="AK59" s="7"/>
      <c r="AL59" s="9"/>
      <c r="AM59" s="1"/>
      <c r="AN59" s="1"/>
      <c r="AO59" s="1"/>
    </row>
    <row r="60" spans="1:41" x14ac:dyDescent="0.3">
      <c r="A60" s="3">
        <v>44</v>
      </c>
      <c r="B60" s="44"/>
      <c r="C60" s="303" t="str">
        <f t="shared" si="7"/>
        <v/>
      </c>
      <c r="D60" s="303"/>
      <c r="E60" s="419" t="str">
        <f t="shared" si="5"/>
        <v/>
      </c>
      <c r="F60" s="419"/>
      <c r="G60" s="419"/>
      <c r="H60" s="419" t="str">
        <f t="shared" si="8"/>
        <v/>
      </c>
      <c r="I60" s="419"/>
      <c r="J60" s="419"/>
      <c r="K60" s="421" t="str">
        <f t="shared" si="9"/>
        <v/>
      </c>
      <c r="L60" s="421"/>
      <c r="M60" s="421"/>
      <c r="N60" s="417" t="str">
        <f t="shared" si="10"/>
        <v/>
      </c>
      <c r="O60" s="417"/>
      <c r="P60" s="417"/>
      <c r="Q60" s="422" t="str">
        <f t="shared" si="11"/>
        <v/>
      </c>
      <c r="R60" s="422"/>
      <c r="S60" s="422"/>
      <c r="T60" s="425" t="str">
        <f t="shared" si="6"/>
        <v/>
      </c>
      <c r="U60" s="425"/>
      <c r="V60" s="425"/>
      <c r="W60" s="41"/>
      <c r="X60" s="1"/>
      <c r="Y60" s="47"/>
      <c r="Z60" s="7"/>
      <c r="AA60" s="7"/>
      <c r="AB60" s="7"/>
      <c r="AC60" s="7"/>
      <c r="AD60" s="7"/>
      <c r="AE60" s="7"/>
      <c r="AF60" s="7"/>
      <c r="AG60" s="7"/>
      <c r="AH60" s="7"/>
      <c r="AI60" s="7"/>
      <c r="AJ60" s="7"/>
      <c r="AK60" s="7"/>
      <c r="AL60" s="9"/>
      <c r="AM60" s="1"/>
      <c r="AN60" s="1"/>
      <c r="AO60" s="1"/>
    </row>
    <row r="61" spans="1:41" x14ac:dyDescent="0.3">
      <c r="A61" s="3">
        <v>45</v>
      </c>
      <c r="B61" s="44"/>
      <c r="C61" s="308" t="str">
        <f t="shared" si="7"/>
        <v/>
      </c>
      <c r="D61" s="308"/>
      <c r="E61" s="418" t="str">
        <f t="shared" si="5"/>
        <v/>
      </c>
      <c r="F61" s="418"/>
      <c r="G61" s="418"/>
      <c r="H61" s="418" t="str">
        <f t="shared" si="8"/>
        <v/>
      </c>
      <c r="I61" s="418"/>
      <c r="J61" s="418"/>
      <c r="K61" s="420" t="str">
        <f t="shared" si="9"/>
        <v/>
      </c>
      <c r="L61" s="420"/>
      <c r="M61" s="420"/>
      <c r="N61" s="416" t="str">
        <f t="shared" si="10"/>
        <v/>
      </c>
      <c r="O61" s="416"/>
      <c r="P61" s="416"/>
      <c r="Q61" s="423" t="str">
        <f t="shared" si="11"/>
        <v/>
      </c>
      <c r="R61" s="423"/>
      <c r="S61" s="423"/>
      <c r="T61" s="424" t="str">
        <f t="shared" si="6"/>
        <v/>
      </c>
      <c r="U61" s="424"/>
      <c r="V61" s="424"/>
      <c r="W61" s="41"/>
      <c r="X61" s="1"/>
      <c r="Y61" s="47"/>
      <c r="Z61" s="7"/>
      <c r="AA61" s="7"/>
      <c r="AB61" s="7"/>
      <c r="AC61" s="7"/>
      <c r="AD61" s="7"/>
      <c r="AE61" s="7"/>
      <c r="AF61" s="7"/>
      <c r="AG61" s="7"/>
      <c r="AH61" s="7"/>
      <c r="AI61" s="7"/>
      <c r="AJ61" s="7"/>
      <c r="AK61" s="7"/>
      <c r="AL61" s="9"/>
      <c r="AM61" s="1"/>
      <c r="AN61" s="1"/>
      <c r="AO61" s="1"/>
    </row>
    <row r="62" spans="1:41" x14ac:dyDescent="0.3">
      <c r="A62" s="3">
        <v>46</v>
      </c>
      <c r="B62" s="44"/>
      <c r="C62" s="303" t="str">
        <f t="shared" si="7"/>
        <v/>
      </c>
      <c r="D62" s="303"/>
      <c r="E62" s="419" t="str">
        <f t="shared" si="5"/>
        <v/>
      </c>
      <c r="F62" s="419"/>
      <c r="G62" s="419"/>
      <c r="H62" s="419" t="str">
        <f t="shared" si="8"/>
        <v/>
      </c>
      <c r="I62" s="419"/>
      <c r="J62" s="419"/>
      <c r="K62" s="421" t="str">
        <f t="shared" si="9"/>
        <v/>
      </c>
      <c r="L62" s="421"/>
      <c r="M62" s="421"/>
      <c r="N62" s="417" t="str">
        <f t="shared" si="10"/>
        <v/>
      </c>
      <c r="O62" s="417"/>
      <c r="P62" s="417"/>
      <c r="Q62" s="422" t="str">
        <f t="shared" si="11"/>
        <v/>
      </c>
      <c r="R62" s="422"/>
      <c r="S62" s="422"/>
      <c r="T62" s="425" t="str">
        <f t="shared" si="6"/>
        <v/>
      </c>
      <c r="U62" s="425"/>
      <c r="V62" s="425"/>
      <c r="W62" s="41"/>
      <c r="X62" s="1"/>
      <c r="Y62" s="47"/>
      <c r="Z62" s="7"/>
      <c r="AA62" s="7"/>
      <c r="AB62" s="7"/>
      <c r="AC62" s="7"/>
      <c r="AD62" s="7"/>
      <c r="AE62" s="7"/>
      <c r="AF62" s="7"/>
      <c r="AG62" s="7"/>
      <c r="AH62" s="7"/>
      <c r="AI62" s="7"/>
      <c r="AJ62" s="7"/>
      <c r="AK62" s="7"/>
      <c r="AL62" s="9"/>
      <c r="AM62" s="1"/>
      <c r="AN62" s="1"/>
      <c r="AO62" s="1"/>
    </row>
    <row r="63" spans="1:41" x14ac:dyDescent="0.3">
      <c r="A63" s="3">
        <v>47</v>
      </c>
      <c r="B63" s="44"/>
      <c r="C63" s="308" t="str">
        <f t="shared" si="7"/>
        <v/>
      </c>
      <c r="D63" s="308"/>
      <c r="E63" s="418" t="str">
        <f t="shared" si="5"/>
        <v/>
      </c>
      <c r="F63" s="418"/>
      <c r="G63" s="418"/>
      <c r="H63" s="418" t="str">
        <f t="shared" si="8"/>
        <v/>
      </c>
      <c r="I63" s="418"/>
      <c r="J63" s="418"/>
      <c r="K63" s="420" t="str">
        <f t="shared" si="9"/>
        <v/>
      </c>
      <c r="L63" s="420"/>
      <c r="M63" s="420"/>
      <c r="N63" s="416" t="str">
        <f t="shared" si="10"/>
        <v/>
      </c>
      <c r="O63" s="416"/>
      <c r="P63" s="416"/>
      <c r="Q63" s="423" t="str">
        <f t="shared" si="11"/>
        <v/>
      </c>
      <c r="R63" s="423"/>
      <c r="S63" s="423"/>
      <c r="T63" s="424" t="str">
        <f t="shared" si="6"/>
        <v/>
      </c>
      <c r="U63" s="424"/>
      <c r="V63" s="424"/>
      <c r="W63" s="41"/>
      <c r="X63" s="1"/>
      <c r="Y63" s="47"/>
      <c r="Z63" s="7"/>
      <c r="AA63" s="7"/>
      <c r="AB63" s="7"/>
      <c r="AC63" s="7"/>
      <c r="AD63" s="7"/>
      <c r="AE63" s="7"/>
      <c r="AF63" s="7"/>
      <c r="AG63" s="7"/>
      <c r="AH63" s="7"/>
      <c r="AI63" s="7"/>
      <c r="AJ63" s="7"/>
      <c r="AK63" s="7"/>
      <c r="AL63" s="9"/>
      <c r="AM63" s="1"/>
      <c r="AN63" s="1"/>
      <c r="AO63" s="1"/>
    </row>
    <row r="64" spans="1:41" x14ac:dyDescent="0.3">
      <c r="A64" s="3">
        <v>48</v>
      </c>
      <c r="B64" s="44"/>
      <c r="C64" s="303" t="str">
        <f t="shared" si="7"/>
        <v/>
      </c>
      <c r="D64" s="303"/>
      <c r="E64" s="419" t="str">
        <f t="shared" si="5"/>
        <v/>
      </c>
      <c r="F64" s="419"/>
      <c r="G64" s="419"/>
      <c r="H64" s="419" t="str">
        <f t="shared" si="8"/>
        <v/>
      </c>
      <c r="I64" s="419"/>
      <c r="J64" s="419"/>
      <c r="K64" s="421" t="str">
        <f t="shared" si="9"/>
        <v/>
      </c>
      <c r="L64" s="421"/>
      <c r="M64" s="421"/>
      <c r="N64" s="417" t="str">
        <f t="shared" si="10"/>
        <v/>
      </c>
      <c r="O64" s="417"/>
      <c r="P64" s="417"/>
      <c r="Q64" s="422" t="str">
        <f t="shared" si="11"/>
        <v/>
      </c>
      <c r="R64" s="422"/>
      <c r="S64" s="422"/>
      <c r="T64" s="425" t="str">
        <f t="shared" si="6"/>
        <v/>
      </c>
      <c r="U64" s="425"/>
      <c r="V64" s="425"/>
      <c r="W64" s="41"/>
      <c r="X64" s="1"/>
      <c r="Y64" s="47"/>
      <c r="Z64" s="7"/>
      <c r="AA64" s="7"/>
      <c r="AB64" s="7"/>
      <c r="AC64" s="7"/>
      <c r="AD64" s="7"/>
      <c r="AE64" s="7"/>
      <c r="AF64" s="7"/>
      <c r="AG64" s="7"/>
      <c r="AH64" s="7"/>
      <c r="AI64" s="7"/>
      <c r="AJ64" s="7"/>
      <c r="AK64" s="7"/>
      <c r="AL64" s="9"/>
      <c r="AM64" s="1"/>
      <c r="AN64" s="1"/>
      <c r="AO64" s="1"/>
    </row>
    <row r="65" spans="1:41" ht="15" thickBot="1" x14ac:dyDescent="0.35">
      <c r="A65" s="3">
        <v>49</v>
      </c>
      <c r="B65" s="44"/>
      <c r="C65" s="308" t="str">
        <f t="shared" si="7"/>
        <v/>
      </c>
      <c r="D65" s="308"/>
      <c r="E65" s="418" t="str">
        <f t="shared" si="5"/>
        <v/>
      </c>
      <c r="F65" s="418"/>
      <c r="G65" s="418"/>
      <c r="H65" s="418" t="str">
        <f t="shared" si="8"/>
        <v/>
      </c>
      <c r="I65" s="418"/>
      <c r="J65" s="418"/>
      <c r="K65" s="420" t="str">
        <f t="shared" si="9"/>
        <v/>
      </c>
      <c r="L65" s="420"/>
      <c r="M65" s="420"/>
      <c r="N65" s="416" t="str">
        <f t="shared" si="10"/>
        <v/>
      </c>
      <c r="O65" s="416"/>
      <c r="P65" s="416"/>
      <c r="Q65" s="423" t="str">
        <f t="shared" si="11"/>
        <v/>
      </c>
      <c r="R65" s="423"/>
      <c r="S65" s="423"/>
      <c r="T65" s="424" t="str">
        <f t="shared" si="6"/>
        <v/>
      </c>
      <c r="U65" s="424"/>
      <c r="V65" s="424"/>
      <c r="W65" s="41"/>
      <c r="X65" s="1"/>
      <c r="Y65" s="49"/>
      <c r="Z65" s="8"/>
      <c r="AA65" s="8"/>
      <c r="AB65" s="8"/>
      <c r="AC65" s="8"/>
      <c r="AD65" s="8"/>
      <c r="AE65" s="8"/>
      <c r="AF65" s="8"/>
      <c r="AG65" s="8"/>
      <c r="AH65" s="8"/>
      <c r="AI65" s="8"/>
      <c r="AJ65" s="8"/>
      <c r="AK65" s="8"/>
      <c r="AL65" s="50"/>
      <c r="AM65" s="1"/>
      <c r="AN65" s="1"/>
      <c r="AO65" s="1"/>
    </row>
    <row r="66" spans="1:41" ht="15" thickTop="1" x14ac:dyDescent="0.3">
      <c r="A66" s="3">
        <v>50</v>
      </c>
      <c r="B66" s="44"/>
      <c r="C66" s="303" t="str">
        <f t="shared" si="7"/>
        <v/>
      </c>
      <c r="D66" s="303"/>
      <c r="E66" s="419" t="str">
        <f t="shared" si="5"/>
        <v/>
      </c>
      <c r="F66" s="419"/>
      <c r="G66" s="419"/>
      <c r="H66" s="419" t="str">
        <f t="shared" si="8"/>
        <v/>
      </c>
      <c r="I66" s="419"/>
      <c r="J66" s="419"/>
      <c r="K66" s="421" t="str">
        <f t="shared" si="9"/>
        <v/>
      </c>
      <c r="L66" s="421"/>
      <c r="M66" s="421"/>
      <c r="N66" s="417" t="str">
        <f t="shared" si="10"/>
        <v/>
      </c>
      <c r="O66" s="417"/>
      <c r="P66" s="417"/>
      <c r="Q66" s="422" t="str">
        <f t="shared" si="11"/>
        <v/>
      </c>
      <c r="R66" s="422"/>
      <c r="S66" s="422"/>
      <c r="T66" s="425" t="str">
        <f t="shared" si="6"/>
        <v/>
      </c>
      <c r="U66" s="425"/>
      <c r="V66" s="425"/>
      <c r="W66" s="41"/>
      <c r="X66" s="1"/>
      <c r="Y66" s="1"/>
      <c r="Z66" s="1"/>
      <c r="AA66" s="1"/>
      <c r="AB66" s="1"/>
      <c r="AC66" s="1"/>
      <c r="AD66" s="1"/>
      <c r="AE66" s="1"/>
      <c r="AF66" s="1"/>
      <c r="AG66" s="1"/>
      <c r="AH66" s="1"/>
      <c r="AI66" s="1"/>
      <c r="AJ66" s="1"/>
      <c r="AK66" s="1"/>
      <c r="AL66" s="1"/>
      <c r="AM66" s="1"/>
      <c r="AN66" s="1"/>
      <c r="AO66" s="1"/>
    </row>
    <row r="67" spans="1:41" x14ac:dyDescent="0.3">
      <c r="A67" s="3">
        <v>51</v>
      </c>
      <c r="B67" s="44"/>
      <c r="C67" s="308" t="str">
        <f t="shared" si="7"/>
        <v/>
      </c>
      <c r="D67" s="308"/>
      <c r="E67" s="418" t="str">
        <f t="shared" si="5"/>
        <v/>
      </c>
      <c r="F67" s="418"/>
      <c r="G67" s="418"/>
      <c r="H67" s="418" t="str">
        <f t="shared" si="8"/>
        <v/>
      </c>
      <c r="I67" s="418"/>
      <c r="J67" s="418"/>
      <c r="K67" s="420" t="str">
        <f t="shared" si="9"/>
        <v/>
      </c>
      <c r="L67" s="420"/>
      <c r="M67" s="420"/>
      <c r="N67" s="416" t="str">
        <f t="shared" si="10"/>
        <v/>
      </c>
      <c r="O67" s="416"/>
      <c r="P67" s="416"/>
      <c r="Q67" s="423" t="str">
        <f t="shared" si="11"/>
        <v/>
      </c>
      <c r="R67" s="423"/>
      <c r="S67" s="423"/>
      <c r="T67" s="424" t="str">
        <f t="shared" si="6"/>
        <v/>
      </c>
      <c r="U67" s="424"/>
      <c r="V67" s="424"/>
      <c r="W67" s="41"/>
      <c r="X67" s="1"/>
      <c r="Y67" s="1"/>
      <c r="Z67" s="1"/>
      <c r="AA67" s="1"/>
      <c r="AB67" s="1"/>
      <c r="AC67" s="1"/>
      <c r="AD67" s="1"/>
      <c r="AE67" s="1"/>
      <c r="AF67" s="1"/>
      <c r="AG67" s="1"/>
      <c r="AH67" s="1"/>
      <c r="AI67" s="1"/>
      <c r="AJ67" s="1"/>
      <c r="AK67" s="1"/>
      <c r="AL67" s="1"/>
      <c r="AM67" s="1"/>
      <c r="AN67" s="1"/>
      <c r="AO67" s="1"/>
    </row>
    <row r="68" spans="1:41" x14ac:dyDescent="0.3">
      <c r="A68" s="3">
        <v>52</v>
      </c>
      <c r="B68" s="44"/>
      <c r="C68" s="303" t="str">
        <f t="shared" si="7"/>
        <v/>
      </c>
      <c r="D68" s="303"/>
      <c r="E68" s="419" t="str">
        <f t="shared" si="5"/>
        <v/>
      </c>
      <c r="F68" s="419"/>
      <c r="G68" s="419"/>
      <c r="H68" s="419" t="str">
        <f t="shared" si="8"/>
        <v/>
      </c>
      <c r="I68" s="419"/>
      <c r="J68" s="419"/>
      <c r="K68" s="421" t="str">
        <f t="shared" si="9"/>
        <v/>
      </c>
      <c r="L68" s="421"/>
      <c r="M68" s="421"/>
      <c r="N68" s="417" t="str">
        <f t="shared" si="10"/>
        <v/>
      </c>
      <c r="O68" s="417"/>
      <c r="P68" s="417"/>
      <c r="Q68" s="422" t="str">
        <f t="shared" si="11"/>
        <v/>
      </c>
      <c r="R68" s="422"/>
      <c r="S68" s="422"/>
      <c r="T68" s="425" t="str">
        <f t="shared" si="6"/>
        <v/>
      </c>
      <c r="U68" s="425"/>
      <c r="V68" s="425"/>
      <c r="W68" s="41"/>
      <c r="X68" s="1"/>
      <c r="Y68" s="1"/>
      <c r="Z68" s="1"/>
      <c r="AA68" s="1"/>
      <c r="AB68" s="1"/>
      <c r="AC68" s="1"/>
      <c r="AD68" s="1"/>
      <c r="AE68" s="1"/>
      <c r="AF68" s="1"/>
      <c r="AG68" s="1"/>
      <c r="AH68" s="1"/>
      <c r="AI68" s="1"/>
      <c r="AJ68" s="1"/>
      <c r="AK68" s="1"/>
      <c r="AL68" s="1"/>
      <c r="AM68" s="1"/>
      <c r="AN68" s="1"/>
      <c r="AO68" s="1"/>
    </row>
    <row r="69" spans="1:41" x14ac:dyDescent="0.3">
      <c r="A69" s="3">
        <v>53</v>
      </c>
      <c r="B69" s="44"/>
      <c r="C69" s="308" t="str">
        <f t="shared" si="7"/>
        <v/>
      </c>
      <c r="D69" s="308"/>
      <c r="E69" s="418" t="str">
        <f t="shared" si="5"/>
        <v/>
      </c>
      <c r="F69" s="418"/>
      <c r="G69" s="418"/>
      <c r="H69" s="418" t="str">
        <f t="shared" si="8"/>
        <v/>
      </c>
      <c r="I69" s="418"/>
      <c r="J69" s="418"/>
      <c r="K69" s="420" t="str">
        <f t="shared" si="9"/>
        <v/>
      </c>
      <c r="L69" s="420"/>
      <c r="M69" s="420"/>
      <c r="N69" s="416" t="str">
        <f t="shared" si="10"/>
        <v/>
      </c>
      <c r="O69" s="416"/>
      <c r="P69" s="416"/>
      <c r="Q69" s="423" t="str">
        <f t="shared" si="11"/>
        <v/>
      </c>
      <c r="R69" s="423"/>
      <c r="S69" s="423"/>
      <c r="T69" s="424" t="str">
        <f t="shared" si="6"/>
        <v/>
      </c>
      <c r="U69" s="424"/>
      <c r="V69" s="424"/>
      <c r="W69" s="41"/>
      <c r="X69" s="1"/>
      <c r="Y69" s="1"/>
      <c r="Z69" s="1"/>
      <c r="AA69" s="1"/>
      <c r="AB69" s="1"/>
      <c r="AC69" s="1"/>
      <c r="AD69" s="1"/>
      <c r="AE69" s="1"/>
      <c r="AF69" s="1"/>
      <c r="AG69" s="1"/>
      <c r="AH69" s="1"/>
      <c r="AI69" s="1"/>
      <c r="AJ69" s="1"/>
      <c r="AK69" s="1"/>
      <c r="AL69" s="1"/>
      <c r="AM69" s="1"/>
      <c r="AN69" s="1"/>
      <c r="AO69" s="1"/>
    </row>
    <row r="70" spans="1:41" x14ac:dyDescent="0.3">
      <c r="A70" s="3">
        <v>54</v>
      </c>
      <c r="B70" s="44"/>
      <c r="C70" s="303" t="str">
        <f t="shared" si="7"/>
        <v/>
      </c>
      <c r="D70" s="303"/>
      <c r="E70" s="419" t="str">
        <f t="shared" si="5"/>
        <v/>
      </c>
      <c r="F70" s="419"/>
      <c r="G70" s="419"/>
      <c r="H70" s="419" t="str">
        <f t="shared" si="8"/>
        <v/>
      </c>
      <c r="I70" s="419"/>
      <c r="J70" s="419"/>
      <c r="K70" s="421" t="str">
        <f t="shared" si="9"/>
        <v/>
      </c>
      <c r="L70" s="421"/>
      <c r="M70" s="421"/>
      <c r="N70" s="417" t="str">
        <f t="shared" si="10"/>
        <v/>
      </c>
      <c r="O70" s="417"/>
      <c r="P70" s="417"/>
      <c r="Q70" s="422" t="str">
        <f t="shared" si="11"/>
        <v/>
      </c>
      <c r="R70" s="422"/>
      <c r="S70" s="422"/>
      <c r="T70" s="425" t="str">
        <f t="shared" si="6"/>
        <v/>
      </c>
      <c r="U70" s="425"/>
      <c r="V70" s="425"/>
      <c r="W70" s="41"/>
      <c r="X70" s="1"/>
      <c r="Y70" s="1"/>
      <c r="Z70" s="1"/>
      <c r="AA70" s="1"/>
      <c r="AB70" s="1"/>
      <c r="AC70" s="1"/>
      <c r="AD70" s="1"/>
      <c r="AE70" s="1"/>
      <c r="AF70" s="1"/>
      <c r="AG70" s="1"/>
      <c r="AH70" s="1"/>
      <c r="AI70" s="1"/>
      <c r="AJ70" s="1"/>
      <c r="AK70" s="1"/>
      <c r="AL70" s="1"/>
      <c r="AM70" s="1"/>
      <c r="AN70" s="1"/>
      <c r="AO70" s="1"/>
    </row>
    <row r="71" spans="1:41" x14ac:dyDescent="0.3">
      <c r="A71" s="3">
        <v>55</v>
      </c>
      <c r="B71" s="44"/>
      <c r="C71" s="308" t="str">
        <f t="shared" si="7"/>
        <v/>
      </c>
      <c r="D71" s="308"/>
      <c r="E71" s="418" t="str">
        <f t="shared" si="5"/>
        <v/>
      </c>
      <c r="F71" s="418"/>
      <c r="G71" s="418"/>
      <c r="H71" s="418" t="str">
        <f t="shared" si="8"/>
        <v/>
      </c>
      <c r="I71" s="418"/>
      <c r="J71" s="418"/>
      <c r="K71" s="420" t="str">
        <f t="shared" si="9"/>
        <v/>
      </c>
      <c r="L71" s="420"/>
      <c r="M71" s="420"/>
      <c r="N71" s="416" t="str">
        <f t="shared" si="10"/>
        <v/>
      </c>
      <c r="O71" s="416"/>
      <c r="P71" s="416"/>
      <c r="Q71" s="423" t="str">
        <f t="shared" si="11"/>
        <v/>
      </c>
      <c r="R71" s="423"/>
      <c r="S71" s="423"/>
      <c r="T71" s="424" t="str">
        <f t="shared" si="6"/>
        <v/>
      </c>
      <c r="U71" s="424"/>
      <c r="V71" s="424"/>
      <c r="W71" s="41"/>
      <c r="X71" s="1"/>
      <c r="Y71" s="1"/>
      <c r="Z71" s="1"/>
      <c r="AA71" s="1"/>
      <c r="AB71" s="1"/>
      <c r="AC71" s="1"/>
      <c r="AD71" s="1"/>
      <c r="AE71" s="1"/>
      <c r="AF71" s="1"/>
      <c r="AG71" s="1"/>
      <c r="AH71" s="1"/>
      <c r="AI71" s="1"/>
      <c r="AJ71" s="1"/>
      <c r="AK71" s="1"/>
      <c r="AL71" s="1"/>
      <c r="AM71" s="1"/>
      <c r="AN71" s="1"/>
      <c r="AO71" s="1"/>
    </row>
    <row r="72" spans="1:41" x14ac:dyDescent="0.3">
      <c r="A72" s="3">
        <v>56</v>
      </c>
      <c r="B72" s="44"/>
      <c r="C72" s="303" t="str">
        <f t="shared" si="7"/>
        <v/>
      </c>
      <c r="D72" s="303"/>
      <c r="E72" s="419" t="str">
        <f t="shared" si="5"/>
        <v/>
      </c>
      <c r="F72" s="419"/>
      <c r="G72" s="419"/>
      <c r="H72" s="419" t="str">
        <f t="shared" si="8"/>
        <v/>
      </c>
      <c r="I72" s="419"/>
      <c r="J72" s="419"/>
      <c r="K72" s="421" t="str">
        <f t="shared" si="9"/>
        <v/>
      </c>
      <c r="L72" s="421"/>
      <c r="M72" s="421"/>
      <c r="N72" s="417" t="str">
        <f t="shared" si="10"/>
        <v/>
      </c>
      <c r="O72" s="417"/>
      <c r="P72" s="417"/>
      <c r="Q72" s="422" t="str">
        <f t="shared" si="11"/>
        <v/>
      </c>
      <c r="R72" s="422"/>
      <c r="S72" s="422"/>
      <c r="T72" s="425" t="str">
        <f t="shared" si="6"/>
        <v/>
      </c>
      <c r="U72" s="425"/>
      <c r="V72" s="425"/>
      <c r="W72" s="41"/>
      <c r="X72" s="1"/>
      <c r="Y72" s="1"/>
      <c r="Z72" s="1"/>
      <c r="AA72" s="1"/>
      <c r="AB72" s="1"/>
      <c r="AC72" s="1"/>
      <c r="AD72" s="1"/>
      <c r="AE72" s="1"/>
      <c r="AF72" s="1"/>
      <c r="AG72" s="1"/>
      <c r="AH72" s="1"/>
      <c r="AI72" s="1"/>
      <c r="AJ72" s="1"/>
      <c r="AK72" s="1"/>
      <c r="AL72" s="1"/>
      <c r="AM72" s="1"/>
      <c r="AN72" s="1"/>
      <c r="AO72" s="1"/>
    </row>
    <row r="73" spans="1:41" x14ac:dyDescent="0.3">
      <c r="A73" s="3">
        <v>57</v>
      </c>
      <c r="B73" s="44"/>
      <c r="C73" s="308" t="str">
        <f t="shared" si="7"/>
        <v/>
      </c>
      <c r="D73" s="308"/>
      <c r="E73" s="418" t="str">
        <f t="shared" si="5"/>
        <v/>
      </c>
      <c r="F73" s="418"/>
      <c r="G73" s="418"/>
      <c r="H73" s="418" t="str">
        <f t="shared" si="8"/>
        <v/>
      </c>
      <c r="I73" s="418"/>
      <c r="J73" s="418"/>
      <c r="K73" s="420" t="str">
        <f t="shared" si="9"/>
        <v/>
      </c>
      <c r="L73" s="420"/>
      <c r="M73" s="420"/>
      <c r="N73" s="416" t="str">
        <f t="shared" si="10"/>
        <v/>
      </c>
      <c r="O73" s="416"/>
      <c r="P73" s="416"/>
      <c r="Q73" s="423" t="str">
        <f t="shared" si="11"/>
        <v/>
      </c>
      <c r="R73" s="423"/>
      <c r="S73" s="423"/>
      <c r="T73" s="424" t="str">
        <f t="shared" si="6"/>
        <v/>
      </c>
      <c r="U73" s="424"/>
      <c r="V73" s="424"/>
      <c r="W73" s="41"/>
      <c r="X73" s="1"/>
      <c r="Y73" s="1"/>
      <c r="Z73" s="1"/>
      <c r="AA73" s="1"/>
      <c r="AB73" s="1"/>
      <c r="AC73" s="1"/>
      <c r="AD73" s="1"/>
      <c r="AE73" s="1"/>
      <c r="AF73" s="1"/>
      <c r="AG73" s="1"/>
      <c r="AH73" s="1"/>
      <c r="AI73" s="1"/>
      <c r="AJ73" s="1"/>
      <c r="AK73" s="1"/>
      <c r="AL73" s="1"/>
      <c r="AM73" s="1"/>
      <c r="AN73" s="1"/>
      <c r="AO73" s="1"/>
    </row>
    <row r="74" spans="1:41" x14ac:dyDescent="0.3">
      <c r="A74" s="3">
        <v>58</v>
      </c>
      <c r="B74" s="44"/>
      <c r="C74" s="303" t="str">
        <f t="shared" si="7"/>
        <v/>
      </c>
      <c r="D74" s="303"/>
      <c r="E74" s="419" t="str">
        <f t="shared" si="5"/>
        <v/>
      </c>
      <c r="F74" s="419"/>
      <c r="G74" s="419"/>
      <c r="H74" s="419" t="str">
        <f t="shared" si="8"/>
        <v/>
      </c>
      <c r="I74" s="419"/>
      <c r="J74" s="419"/>
      <c r="K74" s="421" t="str">
        <f t="shared" si="9"/>
        <v/>
      </c>
      <c r="L74" s="421"/>
      <c r="M74" s="421"/>
      <c r="N74" s="417" t="str">
        <f t="shared" si="10"/>
        <v/>
      </c>
      <c r="O74" s="417"/>
      <c r="P74" s="417"/>
      <c r="Q74" s="422" t="str">
        <f t="shared" si="11"/>
        <v/>
      </c>
      <c r="R74" s="422"/>
      <c r="S74" s="422"/>
      <c r="T74" s="425" t="str">
        <f t="shared" si="6"/>
        <v/>
      </c>
      <c r="U74" s="425"/>
      <c r="V74" s="425"/>
      <c r="W74" s="41"/>
      <c r="X74" s="1"/>
      <c r="Y74" s="1"/>
      <c r="Z74" s="1"/>
      <c r="AA74" s="1"/>
      <c r="AB74" s="1"/>
      <c r="AC74" s="1"/>
      <c r="AD74" s="1"/>
      <c r="AE74" s="1"/>
      <c r="AF74" s="1"/>
      <c r="AG74" s="1"/>
      <c r="AH74" s="1"/>
      <c r="AI74" s="1"/>
      <c r="AJ74" s="1"/>
      <c r="AK74" s="1"/>
      <c r="AL74" s="1"/>
      <c r="AM74" s="1"/>
      <c r="AN74" s="1"/>
      <c r="AO74" s="1"/>
    </row>
    <row r="75" spans="1:41" x14ac:dyDescent="0.3">
      <c r="A75" s="3">
        <v>59</v>
      </c>
      <c r="B75" s="44"/>
      <c r="C75" s="308" t="str">
        <f t="shared" si="7"/>
        <v/>
      </c>
      <c r="D75" s="308"/>
      <c r="E75" s="418" t="str">
        <f t="shared" si="5"/>
        <v/>
      </c>
      <c r="F75" s="418"/>
      <c r="G75" s="418"/>
      <c r="H75" s="418" t="str">
        <f t="shared" si="8"/>
        <v/>
      </c>
      <c r="I75" s="418"/>
      <c r="J75" s="418"/>
      <c r="K75" s="420" t="str">
        <f t="shared" si="9"/>
        <v/>
      </c>
      <c r="L75" s="420"/>
      <c r="M75" s="420"/>
      <c r="N75" s="416" t="str">
        <f t="shared" si="10"/>
        <v/>
      </c>
      <c r="O75" s="416"/>
      <c r="P75" s="416"/>
      <c r="Q75" s="423" t="str">
        <f t="shared" si="11"/>
        <v/>
      </c>
      <c r="R75" s="423"/>
      <c r="S75" s="423"/>
      <c r="T75" s="424" t="str">
        <f t="shared" si="6"/>
        <v/>
      </c>
      <c r="U75" s="424"/>
      <c r="V75" s="424"/>
      <c r="W75" s="41"/>
      <c r="X75" s="1"/>
      <c r="Y75" s="1"/>
      <c r="Z75" s="1"/>
      <c r="AA75" s="1"/>
      <c r="AB75" s="1"/>
      <c r="AC75" s="1"/>
      <c r="AD75" s="1"/>
      <c r="AE75" s="1"/>
      <c r="AF75" s="1"/>
      <c r="AG75" s="1"/>
      <c r="AH75" s="1"/>
      <c r="AI75" s="1"/>
      <c r="AJ75" s="1"/>
      <c r="AK75" s="1"/>
      <c r="AL75" s="1"/>
      <c r="AM75" s="1"/>
      <c r="AN75" s="1"/>
      <c r="AO75" s="1"/>
    </row>
    <row r="76" spans="1:41" x14ac:dyDescent="0.3">
      <c r="A76" s="3">
        <v>60</v>
      </c>
      <c r="B76" s="44"/>
      <c r="C76" s="303" t="str">
        <f t="shared" si="7"/>
        <v/>
      </c>
      <c r="D76" s="303"/>
      <c r="E76" s="419" t="str">
        <f t="shared" si="5"/>
        <v/>
      </c>
      <c r="F76" s="419"/>
      <c r="G76" s="419"/>
      <c r="H76" s="419" t="str">
        <f t="shared" si="8"/>
        <v/>
      </c>
      <c r="I76" s="419"/>
      <c r="J76" s="419"/>
      <c r="K76" s="421" t="str">
        <f t="shared" si="9"/>
        <v/>
      </c>
      <c r="L76" s="421"/>
      <c r="M76" s="421"/>
      <c r="N76" s="417" t="str">
        <f t="shared" si="10"/>
        <v/>
      </c>
      <c r="O76" s="417"/>
      <c r="P76" s="417"/>
      <c r="Q76" s="422" t="str">
        <f t="shared" si="11"/>
        <v/>
      </c>
      <c r="R76" s="422"/>
      <c r="S76" s="422"/>
      <c r="T76" s="425" t="str">
        <f t="shared" si="6"/>
        <v/>
      </c>
      <c r="U76" s="425"/>
      <c r="V76" s="425"/>
      <c r="W76" s="41"/>
      <c r="X76" s="1"/>
      <c r="Y76" s="1"/>
      <c r="Z76" s="1"/>
      <c r="AA76" s="1"/>
      <c r="AB76" s="1"/>
      <c r="AC76" s="1"/>
      <c r="AD76" s="1"/>
      <c r="AE76" s="1"/>
      <c r="AF76" s="1"/>
      <c r="AG76" s="1"/>
      <c r="AH76" s="1"/>
      <c r="AI76" s="1"/>
      <c r="AJ76" s="1"/>
      <c r="AK76" s="1"/>
      <c r="AL76" s="1"/>
      <c r="AM76" s="1"/>
      <c r="AN76" s="1"/>
      <c r="AO76" s="1"/>
    </row>
    <row r="77" spans="1:41" ht="15" thickBot="1" x14ac:dyDescent="0.35">
      <c r="B77" s="37"/>
      <c r="C77" s="302"/>
      <c r="D77" s="302"/>
      <c r="E77" s="38"/>
      <c r="F77" s="38"/>
      <c r="G77" s="38"/>
      <c r="H77" s="38"/>
      <c r="I77" s="38"/>
      <c r="J77" s="38"/>
      <c r="K77" s="38"/>
      <c r="L77" s="38"/>
      <c r="M77" s="38"/>
      <c r="N77" s="38"/>
      <c r="O77" s="38"/>
      <c r="P77" s="38"/>
      <c r="Q77" s="38"/>
      <c r="R77" s="38"/>
      <c r="S77" s="38"/>
      <c r="T77" s="38"/>
      <c r="U77" s="38"/>
      <c r="V77" s="38"/>
      <c r="W77" s="39"/>
      <c r="X77" s="1"/>
      <c r="Y77" s="1"/>
      <c r="Z77" s="1"/>
      <c r="AA77" s="1"/>
      <c r="AB77" s="1"/>
      <c r="AC77" s="1"/>
      <c r="AD77" s="1"/>
      <c r="AE77" s="1"/>
      <c r="AF77" s="1"/>
      <c r="AG77" s="1"/>
      <c r="AH77" s="1"/>
      <c r="AI77" s="1"/>
      <c r="AJ77" s="1"/>
      <c r="AK77" s="1"/>
      <c r="AL77" s="1"/>
    </row>
    <row r="78" spans="1:41" ht="15" thickTop="1" x14ac:dyDescent="0.3">
      <c r="C78" s="293"/>
      <c r="D78" s="293"/>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41" x14ac:dyDescent="0.3">
      <c r="C79" s="293"/>
      <c r="D79" s="293"/>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41" x14ac:dyDescent="0.3">
      <c r="C80" s="293"/>
      <c r="D80" s="293"/>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3:38" x14ac:dyDescent="0.3">
      <c r="C81" s="293"/>
      <c r="D81" s="293"/>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3:38" x14ac:dyDescent="0.3">
      <c r="C82" s="293"/>
      <c r="D82" s="293"/>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3:38" x14ac:dyDescent="0.3">
      <c r="C83" s="293"/>
      <c r="D83" s="293"/>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3:38" x14ac:dyDescent="0.3">
      <c r="C84" s="293"/>
      <c r="D84" s="293"/>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3:38" x14ac:dyDescent="0.3">
      <c r="C85" s="293"/>
      <c r="D85" s="293"/>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3:38" x14ac:dyDescent="0.3">
      <c r="C86" s="293"/>
      <c r="D86" s="293"/>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3:38" x14ac:dyDescent="0.3">
      <c r="C87" s="293"/>
      <c r="D87" s="293"/>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3:38" x14ac:dyDescent="0.3">
      <c r="C88" s="293"/>
      <c r="D88" s="293"/>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3:38" x14ac:dyDescent="0.3">
      <c r="C89" s="293"/>
      <c r="D89" s="293"/>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3:38" x14ac:dyDescent="0.3">
      <c r="C90" s="293"/>
      <c r="D90" s="293"/>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3:38" x14ac:dyDescent="0.3">
      <c r="C91" s="293"/>
      <c r="D91" s="293"/>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3:38" x14ac:dyDescent="0.3">
      <c r="C92" s="293"/>
      <c r="D92" s="293"/>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3:38" x14ac:dyDescent="0.3">
      <c r="C93" s="293"/>
      <c r="D93" s="293"/>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3:38" x14ac:dyDescent="0.3">
      <c r="C94" s="293"/>
      <c r="D94" s="293"/>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3:38" x14ac:dyDescent="0.3">
      <c r="C95" s="293"/>
      <c r="D95" s="293"/>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3:38" x14ac:dyDescent="0.3">
      <c r="C96" s="293"/>
      <c r="D96" s="293"/>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3:38" x14ac:dyDescent="0.3">
      <c r="C97" s="293"/>
      <c r="D97" s="293"/>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3:38" x14ac:dyDescent="0.3">
      <c r="C98" s="293"/>
      <c r="D98" s="293"/>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3:38" x14ac:dyDescent="0.3">
      <c r="C99" s="293"/>
      <c r="D99" s="293"/>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3:38" x14ac:dyDescent="0.3">
      <c r="C100" s="293"/>
      <c r="D100" s="293"/>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3:38" x14ac:dyDescent="0.3">
      <c r="C101" s="293"/>
      <c r="D101" s="293"/>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3:38" x14ac:dyDescent="0.3">
      <c r="C102" s="293"/>
      <c r="D102" s="293"/>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3:38" x14ac:dyDescent="0.3">
      <c r="C103" s="293"/>
      <c r="D103" s="293"/>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3:38" x14ac:dyDescent="0.3">
      <c r="C104" s="293"/>
      <c r="D104" s="293"/>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3:38" x14ac:dyDescent="0.3">
      <c r="C105" s="293"/>
      <c r="D105" s="293"/>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3:38" x14ac:dyDescent="0.3">
      <c r="C106" s="293"/>
      <c r="D106" s="293"/>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3:38" x14ac:dyDescent="0.3">
      <c r="C107" s="293"/>
      <c r="D107" s="293"/>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3:38" x14ac:dyDescent="0.3">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3:38" x14ac:dyDescent="0.3">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3:38" x14ac:dyDescent="0.3">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3:38" x14ac:dyDescent="0.3">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3:38" x14ac:dyDescent="0.3">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3:38" x14ac:dyDescent="0.3">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3:38" x14ac:dyDescent="0.3">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3:38" x14ac:dyDescent="0.3">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3:38" x14ac:dyDescent="0.3">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3:38" x14ac:dyDescent="0.3">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3:38" x14ac:dyDescent="0.3">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3:38" x14ac:dyDescent="0.3">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3:38" x14ac:dyDescent="0.3">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3:38" x14ac:dyDescent="0.3">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sheetData>
  <mergeCells count="509">
    <mergeCell ref="Z30:AK30"/>
    <mergeCell ref="R6:T6"/>
    <mergeCell ref="O6:Q6"/>
    <mergeCell ref="V12:W12"/>
    <mergeCell ref="Z32:AK32"/>
    <mergeCell ref="Z48:AK48"/>
    <mergeCell ref="C5:G5"/>
    <mergeCell ref="M6:N6"/>
    <mergeCell ref="B2:AL2"/>
    <mergeCell ref="R11:T11"/>
    <mergeCell ref="R10:T10"/>
    <mergeCell ref="R9:T9"/>
    <mergeCell ref="R8:T8"/>
    <mergeCell ref="M5:Q5"/>
    <mergeCell ref="C11:G11"/>
    <mergeCell ref="C10:G10"/>
    <mergeCell ref="C9:G9"/>
    <mergeCell ref="C8:G8"/>
    <mergeCell ref="C6:G6"/>
    <mergeCell ref="Z10:AB10"/>
    <mergeCell ref="AC10:AE10"/>
    <mergeCell ref="Z11:AB11"/>
    <mergeCell ref="AC11:AE11"/>
    <mergeCell ref="Z15:AK15"/>
    <mergeCell ref="AF9:AH9"/>
    <mergeCell ref="AC5:AK5"/>
    <mergeCell ref="AI6:AK6"/>
    <mergeCell ref="AI7:AK7"/>
    <mergeCell ref="AI8:AK8"/>
    <mergeCell ref="AI9:AK9"/>
    <mergeCell ref="AF6:AH6"/>
    <mergeCell ref="AC6:AE6"/>
    <mergeCell ref="Z9:AB9"/>
    <mergeCell ref="Z8:AB8"/>
    <mergeCell ref="Z7:AB7"/>
    <mergeCell ref="AC9:AE9"/>
    <mergeCell ref="AC8:AE8"/>
    <mergeCell ref="AC7:AE7"/>
    <mergeCell ref="AF7:AH7"/>
    <mergeCell ref="AF8:AH8"/>
    <mergeCell ref="E71:G71"/>
    <mergeCell ref="E72:G72"/>
    <mergeCell ref="E73:G73"/>
    <mergeCell ref="E74:G74"/>
    <mergeCell ref="E75:G75"/>
    <mergeCell ref="E76:G76"/>
    <mergeCell ref="E65:G65"/>
    <mergeCell ref="E66:G66"/>
    <mergeCell ref="E67:G67"/>
    <mergeCell ref="E68:G68"/>
    <mergeCell ref="E69:G69"/>
    <mergeCell ref="E70:G70"/>
    <mergeCell ref="E59:G59"/>
    <mergeCell ref="E60:G60"/>
    <mergeCell ref="E61:G61"/>
    <mergeCell ref="E62:G62"/>
    <mergeCell ref="E63:G63"/>
    <mergeCell ref="E64:G64"/>
    <mergeCell ref="E53:G53"/>
    <mergeCell ref="E54:G54"/>
    <mergeCell ref="E55:G55"/>
    <mergeCell ref="E56:G56"/>
    <mergeCell ref="E57:G57"/>
    <mergeCell ref="E58:G58"/>
    <mergeCell ref="E47:G47"/>
    <mergeCell ref="E48:G48"/>
    <mergeCell ref="E49:G49"/>
    <mergeCell ref="E50:G50"/>
    <mergeCell ref="E51:G51"/>
    <mergeCell ref="E52:G52"/>
    <mergeCell ref="E41:G41"/>
    <mergeCell ref="E42:G42"/>
    <mergeCell ref="E43:G43"/>
    <mergeCell ref="E44:G44"/>
    <mergeCell ref="E45:G45"/>
    <mergeCell ref="E46:G46"/>
    <mergeCell ref="E35:G35"/>
    <mergeCell ref="E36:G36"/>
    <mergeCell ref="E37:G37"/>
    <mergeCell ref="E38:G38"/>
    <mergeCell ref="E39:G39"/>
    <mergeCell ref="E40:G40"/>
    <mergeCell ref="E29:G29"/>
    <mergeCell ref="E30:G30"/>
    <mergeCell ref="E31:G31"/>
    <mergeCell ref="E32:G32"/>
    <mergeCell ref="E33:G33"/>
    <mergeCell ref="E34:G34"/>
    <mergeCell ref="T73:V73"/>
    <mergeCell ref="T74:V74"/>
    <mergeCell ref="T75:V75"/>
    <mergeCell ref="T76:V76"/>
    <mergeCell ref="E19:G19"/>
    <mergeCell ref="E20:G20"/>
    <mergeCell ref="E21:G21"/>
    <mergeCell ref="E22:G22"/>
    <mergeCell ref="E23:G23"/>
    <mergeCell ref="E24:G24"/>
    <mergeCell ref="T67:V67"/>
    <mergeCell ref="T68:V68"/>
    <mergeCell ref="T69:V69"/>
    <mergeCell ref="T70:V70"/>
    <mergeCell ref="T71:V71"/>
    <mergeCell ref="T72:V72"/>
    <mergeCell ref="T61:V61"/>
    <mergeCell ref="T62:V62"/>
    <mergeCell ref="T63:V63"/>
    <mergeCell ref="T64:V64"/>
    <mergeCell ref="T65:V65"/>
    <mergeCell ref="T66:V66"/>
    <mergeCell ref="T55:V55"/>
    <mergeCell ref="T56:V56"/>
    <mergeCell ref="T57:V57"/>
    <mergeCell ref="T58:V58"/>
    <mergeCell ref="T59:V59"/>
    <mergeCell ref="T60:V60"/>
    <mergeCell ref="T49:V49"/>
    <mergeCell ref="T50:V50"/>
    <mergeCell ref="T51:V51"/>
    <mergeCell ref="T52:V52"/>
    <mergeCell ref="T53:V53"/>
    <mergeCell ref="T54:V54"/>
    <mergeCell ref="T43:V43"/>
    <mergeCell ref="T44:V44"/>
    <mergeCell ref="T45:V45"/>
    <mergeCell ref="T46:V46"/>
    <mergeCell ref="T47:V47"/>
    <mergeCell ref="T48:V48"/>
    <mergeCell ref="T37:V37"/>
    <mergeCell ref="T38:V38"/>
    <mergeCell ref="T39:V39"/>
    <mergeCell ref="T40:V40"/>
    <mergeCell ref="T41:V41"/>
    <mergeCell ref="T42:V42"/>
    <mergeCell ref="T31:V31"/>
    <mergeCell ref="T32:V32"/>
    <mergeCell ref="T33:V33"/>
    <mergeCell ref="T34:V34"/>
    <mergeCell ref="T35:V35"/>
    <mergeCell ref="T36:V36"/>
    <mergeCell ref="T25:V25"/>
    <mergeCell ref="T26:V26"/>
    <mergeCell ref="T27:V27"/>
    <mergeCell ref="T28:V28"/>
    <mergeCell ref="T29:V29"/>
    <mergeCell ref="T30:V30"/>
    <mergeCell ref="Q76:S76"/>
    <mergeCell ref="T15:V16"/>
    <mergeCell ref="T17:V17"/>
    <mergeCell ref="T18:V18"/>
    <mergeCell ref="T19:V19"/>
    <mergeCell ref="T20:V20"/>
    <mergeCell ref="T21:V21"/>
    <mergeCell ref="T22:V22"/>
    <mergeCell ref="T23:V23"/>
    <mergeCell ref="T24:V24"/>
    <mergeCell ref="Q70:S70"/>
    <mergeCell ref="Q71:S71"/>
    <mergeCell ref="Q72:S72"/>
    <mergeCell ref="Q73:S73"/>
    <mergeCell ref="Q74:S74"/>
    <mergeCell ref="Q75:S75"/>
    <mergeCell ref="Q64:S64"/>
    <mergeCell ref="Q65:S65"/>
    <mergeCell ref="Q66:S66"/>
    <mergeCell ref="Q67:S67"/>
    <mergeCell ref="Q68:S68"/>
    <mergeCell ref="Q69:S69"/>
    <mergeCell ref="Q58:S58"/>
    <mergeCell ref="Q59:S59"/>
    <mergeCell ref="Q60:S60"/>
    <mergeCell ref="Q61:S61"/>
    <mergeCell ref="Q62:S62"/>
    <mergeCell ref="Q63:S63"/>
    <mergeCell ref="Q52:S52"/>
    <mergeCell ref="Q53:S53"/>
    <mergeCell ref="Q54:S54"/>
    <mergeCell ref="Q55:S55"/>
    <mergeCell ref="Q56:S56"/>
    <mergeCell ref="Q57:S57"/>
    <mergeCell ref="Q46:S46"/>
    <mergeCell ref="Q47:S47"/>
    <mergeCell ref="Q48:S48"/>
    <mergeCell ref="Q49:S49"/>
    <mergeCell ref="Q50:S50"/>
    <mergeCell ref="Q51:S51"/>
    <mergeCell ref="Q40:S40"/>
    <mergeCell ref="Q41:S41"/>
    <mergeCell ref="Q42:S42"/>
    <mergeCell ref="Q43:S43"/>
    <mergeCell ref="Q44:S44"/>
    <mergeCell ref="Q45:S45"/>
    <mergeCell ref="Q34:S34"/>
    <mergeCell ref="Q35:S35"/>
    <mergeCell ref="Q36:S36"/>
    <mergeCell ref="Q37:S37"/>
    <mergeCell ref="Q38:S38"/>
    <mergeCell ref="Q39:S39"/>
    <mergeCell ref="Q28:S28"/>
    <mergeCell ref="Q29:S29"/>
    <mergeCell ref="Q30:S30"/>
    <mergeCell ref="Q31:S31"/>
    <mergeCell ref="Q32:S32"/>
    <mergeCell ref="Q33:S33"/>
    <mergeCell ref="Q22:S22"/>
    <mergeCell ref="Q23:S23"/>
    <mergeCell ref="Q24:S24"/>
    <mergeCell ref="Q25:S25"/>
    <mergeCell ref="Q26:S26"/>
    <mergeCell ref="Q27:S27"/>
    <mergeCell ref="Q15:S16"/>
    <mergeCell ref="Q17:S17"/>
    <mergeCell ref="Q18:S18"/>
    <mergeCell ref="Q19:S19"/>
    <mergeCell ref="Q20:S20"/>
    <mergeCell ref="Q21:S21"/>
    <mergeCell ref="N75:P75"/>
    <mergeCell ref="N76:P76"/>
    <mergeCell ref="E15:G16"/>
    <mergeCell ref="E17:G17"/>
    <mergeCell ref="E18:G18"/>
    <mergeCell ref="E25:G25"/>
    <mergeCell ref="E26:G26"/>
    <mergeCell ref="E27:G27"/>
    <mergeCell ref="E28:G28"/>
    <mergeCell ref="N69:P69"/>
    <mergeCell ref="N70:P70"/>
    <mergeCell ref="N71:P71"/>
    <mergeCell ref="N72:P72"/>
    <mergeCell ref="N73:P73"/>
    <mergeCell ref="N74:P74"/>
    <mergeCell ref="N63:P63"/>
    <mergeCell ref="N64:P64"/>
    <mergeCell ref="N65:P65"/>
    <mergeCell ref="N66:P66"/>
    <mergeCell ref="N67:P67"/>
    <mergeCell ref="N68:P68"/>
    <mergeCell ref="N57:P57"/>
    <mergeCell ref="N58:P58"/>
    <mergeCell ref="N59:P59"/>
    <mergeCell ref="N60:P60"/>
    <mergeCell ref="N61:P61"/>
    <mergeCell ref="N62:P62"/>
    <mergeCell ref="N51:P51"/>
    <mergeCell ref="N52:P52"/>
    <mergeCell ref="N53:P53"/>
    <mergeCell ref="N54:P54"/>
    <mergeCell ref="N55:P55"/>
    <mergeCell ref="N56:P56"/>
    <mergeCell ref="N45:P45"/>
    <mergeCell ref="N46:P46"/>
    <mergeCell ref="N47:P47"/>
    <mergeCell ref="N48:P48"/>
    <mergeCell ref="N49:P49"/>
    <mergeCell ref="N50:P50"/>
    <mergeCell ref="N39:P39"/>
    <mergeCell ref="N40:P40"/>
    <mergeCell ref="N41:P41"/>
    <mergeCell ref="N42:P42"/>
    <mergeCell ref="N43:P43"/>
    <mergeCell ref="N44:P44"/>
    <mergeCell ref="N34:P34"/>
    <mergeCell ref="N35:P35"/>
    <mergeCell ref="N36:P36"/>
    <mergeCell ref="N37:P37"/>
    <mergeCell ref="N38:P38"/>
    <mergeCell ref="N27:P27"/>
    <mergeCell ref="N28:P28"/>
    <mergeCell ref="N29:P29"/>
    <mergeCell ref="N30:P30"/>
    <mergeCell ref="N31:P31"/>
    <mergeCell ref="N32:P32"/>
    <mergeCell ref="N22:P22"/>
    <mergeCell ref="N23:P23"/>
    <mergeCell ref="N24:P24"/>
    <mergeCell ref="N25:P25"/>
    <mergeCell ref="N26:P26"/>
    <mergeCell ref="K76:M76"/>
    <mergeCell ref="K23:M23"/>
    <mergeCell ref="N15:P16"/>
    <mergeCell ref="K15:M16"/>
    <mergeCell ref="K73:M73"/>
    <mergeCell ref="K74:M74"/>
    <mergeCell ref="K75:M75"/>
    <mergeCell ref="K55:M55"/>
    <mergeCell ref="K56:M56"/>
    <mergeCell ref="K57:M57"/>
    <mergeCell ref="K46:M46"/>
    <mergeCell ref="K47:M47"/>
    <mergeCell ref="K48:M48"/>
    <mergeCell ref="K49:M49"/>
    <mergeCell ref="K50:M50"/>
    <mergeCell ref="K51:M51"/>
    <mergeCell ref="K40:M40"/>
    <mergeCell ref="K41:M41"/>
    <mergeCell ref="N33:P33"/>
    <mergeCell ref="K58:M58"/>
    <mergeCell ref="K59:M59"/>
    <mergeCell ref="K60:M60"/>
    <mergeCell ref="K61:M61"/>
    <mergeCell ref="K62:M62"/>
    <mergeCell ref="K63:M63"/>
    <mergeCell ref="K52:M52"/>
    <mergeCell ref="K53:M53"/>
    <mergeCell ref="K54:M54"/>
    <mergeCell ref="K70:M70"/>
    <mergeCell ref="K71:M71"/>
    <mergeCell ref="K72:M72"/>
    <mergeCell ref="K64:M64"/>
    <mergeCell ref="K65:M65"/>
    <mergeCell ref="K66:M66"/>
    <mergeCell ref="K67:M67"/>
    <mergeCell ref="K68:M68"/>
    <mergeCell ref="K69:M69"/>
    <mergeCell ref="K42:M42"/>
    <mergeCell ref="K43:M43"/>
    <mergeCell ref="K44:M44"/>
    <mergeCell ref="K45:M45"/>
    <mergeCell ref="K34:M34"/>
    <mergeCell ref="K35:M35"/>
    <mergeCell ref="K36:M36"/>
    <mergeCell ref="K37:M37"/>
    <mergeCell ref="K38:M38"/>
    <mergeCell ref="K39:M39"/>
    <mergeCell ref="K29:M29"/>
    <mergeCell ref="K30:M30"/>
    <mergeCell ref="K31:M31"/>
    <mergeCell ref="K32:M32"/>
    <mergeCell ref="K33:M33"/>
    <mergeCell ref="K22:M22"/>
    <mergeCell ref="K24:M24"/>
    <mergeCell ref="K25:M25"/>
    <mergeCell ref="K26:M26"/>
    <mergeCell ref="K27:M27"/>
    <mergeCell ref="H71:J71"/>
    <mergeCell ref="H72:J72"/>
    <mergeCell ref="H73:J73"/>
    <mergeCell ref="H74:J74"/>
    <mergeCell ref="H75:J75"/>
    <mergeCell ref="H76:J76"/>
    <mergeCell ref="H65:J65"/>
    <mergeCell ref="H66:J66"/>
    <mergeCell ref="H67:J67"/>
    <mergeCell ref="H68:J68"/>
    <mergeCell ref="H69:J69"/>
    <mergeCell ref="H70:J70"/>
    <mergeCell ref="H59:J59"/>
    <mergeCell ref="H60:J60"/>
    <mergeCell ref="H61:J61"/>
    <mergeCell ref="H62:J62"/>
    <mergeCell ref="H63:J63"/>
    <mergeCell ref="H64:J64"/>
    <mergeCell ref="H53:J53"/>
    <mergeCell ref="H54:J54"/>
    <mergeCell ref="H55:J55"/>
    <mergeCell ref="H56:J56"/>
    <mergeCell ref="H57:J57"/>
    <mergeCell ref="H58:J58"/>
    <mergeCell ref="H47:J47"/>
    <mergeCell ref="H48:J48"/>
    <mergeCell ref="H49:J49"/>
    <mergeCell ref="H50:J50"/>
    <mergeCell ref="H51:J51"/>
    <mergeCell ref="H52:J52"/>
    <mergeCell ref="H41:J41"/>
    <mergeCell ref="H42:J42"/>
    <mergeCell ref="H43:J43"/>
    <mergeCell ref="H44:J44"/>
    <mergeCell ref="H45:J45"/>
    <mergeCell ref="H46:J46"/>
    <mergeCell ref="H35:J35"/>
    <mergeCell ref="H36:J36"/>
    <mergeCell ref="H37:J37"/>
    <mergeCell ref="H38:J38"/>
    <mergeCell ref="H39:J39"/>
    <mergeCell ref="H40:J40"/>
    <mergeCell ref="H29:J29"/>
    <mergeCell ref="H30:J30"/>
    <mergeCell ref="H31:J31"/>
    <mergeCell ref="H32:J32"/>
    <mergeCell ref="H33:J33"/>
    <mergeCell ref="H34:J34"/>
    <mergeCell ref="H23:J23"/>
    <mergeCell ref="K17:M17"/>
    <mergeCell ref="H27:J27"/>
    <mergeCell ref="H28:J28"/>
    <mergeCell ref="K18:M18"/>
    <mergeCell ref="K19:M19"/>
    <mergeCell ref="K20:M20"/>
    <mergeCell ref="K21:M21"/>
    <mergeCell ref="H21:J21"/>
    <mergeCell ref="H22:J22"/>
    <mergeCell ref="H24:J24"/>
    <mergeCell ref="H25:J25"/>
    <mergeCell ref="H26:J26"/>
    <mergeCell ref="K28:M28"/>
    <mergeCell ref="C104:D104"/>
    <mergeCell ref="C105:D105"/>
    <mergeCell ref="C106:D106"/>
    <mergeCell ref="C107:D107"/>
    <mergeCell ref="H17:J17"/>
    <mergeCell ref="H18:J18"/>
    <mergeCell ref="H19:J19"/>
    <mergeCell ref="H20:J20"/>
    <mergeCell ref="C98:D98"/>
    <mergeCell ref="C99:D99"/>
    <mergeCell ref="C100:D100"/>
    <mergeCell ref="C101:D101"/>
    <mergeCell ref="C102:D102"/>
    <mergeCell ref="C103:D103"/>
    <mergeCell ref="C92:D92"/>
    <mergeCell ref="C93:D93"/>
    <mergeCell ref="C94:D94"/>
    <mergeCell ref="C95:D95"/>
    <mergeCell ref="C96:D96"/>
    <mergeCell ref="C97:D97"/>
    <mergeCell ref="C86:D86"/>
    <mergeCell ref="C87:D87"/>
    <mergeCell ref="C88:D88"/>
    <mergeCell ref="C89:D89"/>
    <mergeCell ref="C90:D90"/>
    <mergeCell ref="C91:D91"/>
    <mergeCell ref="C80:D80"/>
    <mergeCell ref="C81:D81"/>
    <mergeCell ref="C82:D82"/>
    <mergeCell ref="C83:D83"/>
    <mergeCell ref="C84:D84"/>
    <mergeCell ref="C85:D85"/>
    <mergeCell ref="C74:D74"/>
    <mergeCell ref="C75:D75"/>
    <mergeCell ref="C76:D76"/>
    <mergeCell ref="C77:D77"/>
    <mergeCell ref="C78:D78"/>
    <mergeCell ref="C79:D79"/>
    <mergeCell ref="C68:D68"/>
    <mergeCell ref="C69:D69"/>
    <mergeCell ref="C70:D70"/>
    <mergeCell ref="C71:D71"/>
    <mergeCell ref="C72:D72"/>
    <mergeCell ref="C73:D73"/>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44:D44"/>
    <mergeCell ref="C45:D45"/>
    <mergeCell ref="C46:D46"/>
    <mergeCell ref="C47:D47"/>
    <mergeCell ref="C48:D48"/>
    <mergeCell ref="C49:D49"/>
    <mergeCell ref="C38:D38"/>
    <mergeCell ref="C39:D39"/>
    <mergeCell ref="C40:D40"/>
    <mergeCell ref="C41:D41"/>
    <mergeCell ref="C42:D42"/>
    <mergeCell ref="C43:D43"/>
    <mergeCell ref="C34:D34"/>
    <mergeCell ref="C35:D35"/>
    <mergeCell ref="C36:D36"/>
    <mergeCell ref="C37:D37"/>
    <mergeCell ref="C26:D26"/>
    <mergeCell ref="C27:D27"/>
    <mergeCell ref="C28:D28"/>
    <mergeCell ref="C29:D29"/>
    <mergeCell ref="C30:D30"/>
    <mergeCell ref="C31:D31"/>
    <mergeCell ref="C22:D22"/>
    <mergeCell ref="C23:D23"/>
    <mergeCell ref="C24:D24"/>
    <mergeCell ref="C25:D25"/>
    <mergeCell ref="C17:D17"/>
    <mergeCell ref="C18:D18"/>
    <mergeCell ref="C19:D19"/>
    <mergeCell ref="C32:D32"/>
    <mergeCell ref="C33:D33"/>
    <mergeCell ref="R5:T5"/>
    <mergeCell ref="H5:J5"/>
    <mergeCell ref="H6:J6"/>
    <mergeCell ref="H10:J10"/>
    <mergeCell ref="H11:J11"/>
    <mergeCell ref="M9:Q9"/>
    <mergeCell ref="M8:Q8"/>
    <mergeCell ref="C20:D20"/>
    <mergeCell ref="C21:D21"/>
    <mergeCell ref="H8:J8"/>
    <mergeCell ref="H9:J9"/>
    <mergeCell ref="M11:Q11"/>
    <mergeCell ref="M10:Q10"/>
    <mergeCell ref="H15:J16"/>
    <mergeCell ref="C15:D16"/>
    <mergeCell ref="N17:P17"/>
    <mergeCell ref="N18:P18"/>
    <mergeCell ref="N19:P19"/>
    <mergeCell ref="N20:P20"/>
    <mergeCell ref="N21:P2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4"/>
  <sheetViews>
    <sheetView workbookViewId="0"/>
  </sheetViews>
  <sheetFormatPr defaultRowHeight="14.4" x14ac:dyDescent="0.3"/>
  <sheetData>
    <row r="4" spans="1:2" x14ac:dyDescent="0.3">
      <c r="A4" s="5"/>
      <c r="B4"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topLeftCell="A16" zoomScale="80" zoomScaleNormal="80" workbookViewId="0">
      <selection activeCell="N35" sqref="N35"/>
    </sheetView>
  </sheetViews>
  <sheetFormatPr defaultRowHeight="15.6" x14ac:dyDescent="0.3"/>
  <cols>
    <col min="1" max="1" width="8.88671875" style="71"/>
    <col min="2" max="2" width="8.88671875" style="79"/>
    <col min="3" max="3" width="7.33203125" style="71" bestFit="1" customWidth="1"/>
    <col min="4" max="4" width="6.21875" style="71" bestFit="1" customWidth="1"/>
    <col min="5" max="6" width="7.33203125" style="71" bestFit="1" customWidth="1"/>
    <col min="7" max="16384" width="8.88671875" style="71"/>
  </cols>
  <sheetData>
    <row r="1" spans="1:17" ht="21" x14ac:dyDescent="0.3">
      <c r="A1" s="80" t="s">
        <v>34</v>
      </c>
    </row>
    <row r="2" spans="1:17" ht="16.2" thickBot="1" x14ac:dyDescent="0.35">
      <c r="A2" s="72"/>
    </row>
    <row r="3" spans="1:17" ht="31.2" x14ac:dyDescent="0.3">
      <c r="A3" s="155" t="s">
        <v>3</v>
      </c>
      <c r="B3" s="156" t="s">
        <v>35</v>
      </c>
      <c r="C3" s="157" t="s">
        <v>77</v>
      </c>
      <c r="D3" s="157" t="s">
        <v>78</v>
      </c>
      <c r="E3" s="157" t="s">
        <v>79</v>
      </c>
      <c r="F3" s="158" t="s">
        <v>80</v>
      </c>
      <c r="G3" s="283"/>
      <c r="H3" s="283"/>
      <c r="I3" s="283"/>
      <c r="J3" s="283"/>
      <c r="K3" s="283"/>
      <c r="L3" s="283"/>
      <c r="M3" s="283"/>
    </row>
    <row r="4" spans="1:17" ht="16.2" customHeight="1" x14ac:dyDescent="0.3">
      <c r="A4" s="159">
        <v>2020</v>
      </c>
      <c r="B4" s="104">
        <v>18.399999999999999</v>
      </c>
      <c r="C4" s="108"/>
      <c r="D4" s="108"/>
      <c r="E4" s="108"/>
      <c r="F4" s="109"/>
      <c r="G4" s="284" t="s">
        <v>36</v>
      </c>
      <c r="H4" s="284"/>
      <c r="I4" s="284"/>
      <c r="J4" s="284"/>
      <c r="K4" s="284"/>
      <c r="L4" s="284"/>
      <c r="M4" s="284"/>
      <c r="N4" s="284"/>
      <c r="O4" s="284"/>
      <c r="P4" s="284"/>
      <c r="Q4" s="284"/>
    </row>
    <row r="5" spans="1:17" x14ac:dyDescent="0.3">
      <c r="A5" s="159">
        <v>2019</v>
      </c>
      <c r="B5" s="104">
        <v>31.49</v>
      </c>
      <c r="C5" s="108"/>
      <c r="D5" s="108"/>
      <c r="E5" s="108"/>
      <c r="F5" s="109"/>
      <c r="G5" s="284"/>
      <c r="H5" s="284"/>
      <c r="I5" s="284"/>
      <c r="J5" s="284"/>
      <c r="K5" s="284"/>
      <c r="L5" s="284"/>
      <c r="M5" s="284"/>
      <c r="N5" s="284"/>
      <c r="O5" s="284"/>
      <c r="P5" s="284"/>
      <c r="Q5" s="284"/>
    </row>
    <row r="6" spans="1:17" x14ac:dyDescent="0.3">
      <c r="A6" s="159">
        <v>2018</v>
      </c>
      <c r="B6" s="107">
        <v>-4.38</v>
      </c>
      <c r="C6" s="108"/>
      <c r="D6" s="108"/>
      <c r="E6" s="108"/>
      <c r="F6" s="109"/>
      <c r="G6" s="284"/>
      <c r="H6" s="284"/>
      <c r="I6" s="284"/>
      <c r="J6" s="284"/>
      <c r="K6" s="284"/>
      <c r="L6" s="284"/>
      <c r="M6" s="284"/>
      <c r="N6" s="284"/>
      <c r="O6" s="284"/>
      <c r="P6" s="284"/>
      <c r="Q6" s="284"/>
    </row>
    <row r="7" spans="1:17" x14ac:dyDescent="0.3">
      <c r="A7" s="159">
        <v>2017</v>
      </c>
      <c r="B7" s="104">
        <v>21.83</v>
      </c>
      <c r="C7" s="108"/>
      <c r="D7" s="108"/>
      <c r="E7" s="108"/>
      <c r="F7" s="109"/>
      <c r="G7" s="284"/>
      <c r="H7" s="284"/>
      <c r="I7" s="284"/>
      <c r="J7" s="284"/>
      <c r="K7" s="284"/>
      <c r="L7" s="284"/>
      <c r="M7" s="284"/>
      <c r="N7" s="284"/>
      <c r="O7" s="284"/>
      <c r="P7" s="284"/>
      <c r="Q7" s="284"/>
    </row>
    <row r="8" spans="1:17" x14ac:dyDescent="0.3">
      <c r="A8" s="159">
        <v>2016</v>
      </c>
      <c r="B8" s="104">
        <v>11.96</v>
      </c>
      <c r="C8" s="108"/>
      <c r="D8" s="108"/>
      <c r="E8" s="108"/>
      <c r="F8" s="109"/>
      <c r="G8" s="284"/>
      <c r="H8" s="284"/>
      <c r="I8" s="284"/>
      <c r="J8" s="284"/>
      <c r="K8" s="284"/>
      <c r="L8" s="284"/>
      <c r="M8" s="284"/>
      <c r="N8" s="284"/>
      <c r="O8" s="284"/>
      <c r="P8" s="284"/>
      <c r="Q8" s="284"/>
    </row>
    <row r="9" spans="1:17" x14ac:dyDescent="0.3">
      <c r="A9" s="159">
        <v>2015</v>
      </c>
      <c r="B9" s="104">
        <v>1.38</v>
      </c>
      <c r="C9" s="108"/>
      <c r="D9" s="108"/>
      <c r="E9" s="108"/>
      <c r="F9" s="109"/>
    </row>
    <row r="10" spans="1:17" x14ac:dyDescent="0.3">
      <c r="A10" s="159">
        <v>2014</v>
      </c>
      <c r="B10" s="104">
        <v>13.69</v>
      </c>
      <c r="C10" s="108"/>
      <c r="D10" s="108"/>
      <c r="E10" s="108"/>
      <c r="F10" s="109"/>
      <c r="G10"/>
    </row>
    <row r="11" spans="1:17" x14ac:dyDescent="0.3">
      <c r="A11" s="159">
        <v>2013</v>
      </c>
      <c r="B11" s="104">
        <v>32.39</v>
      </c>
      <c r="C11" s="108"/>
      <c r="D11" s="108"/>
      <c r="E11" s="108"/>
      <c r="F11" s="109"/>
    </row>
    <row r="12" spans="1:17" x14ac:dyDescent="0.3">
      <c r="A12" s="159">
        <v>2012</v>
      </c>
      <c r="B12" s="104">
        <v>16</v>
      </c>
      <c r="C12" s="108"/>
      <c r="D12" s="108"/>
      <c r="E12" s="108"/>
      <c r="F12" s="109"/>
    </row>
    <row r="13" spans="1:17" ht="16.2" thickBot="1" x14ac:dyDescent="0.35">
      <c r="A13" s="160">
        <v>2011</v>
      </c>
      <c r="B13" s="153">
        <v>2.11</v>
      </c>
      <c r="C13" s="105">
        <f>AVERAGE($B$4:$B13)</f>
        <v>14.487</v>
      </c>
      <c r="D13" s="106"/>
      <c r="E13" s="106"/>
      <c r="F13" s="110"/>
    </row>
    <row r="14" spans="1:17" x14ac:dyDescent="0.3">
      <c r="A14" s="159">
        <v>2010</v>
      </c>
      <c r="B14" s="104">
        <v>15.06</v>
      </c>
      <c r="C14" s="108"/>
      <c r="D14" s="108"/>
      <c r="E14" s="108"/>
      <c r="F14" s="109"/>
    </row>
    <row r="15" spans="1:17" x14ac:dyDescent="0.3">
      <c r="A15" s="159">
        <v>2009</v>
      </c>
      <c r="B15" s="104">
        <v>26.46</v>
      </c>
      <c r="C15" s="108"/>
      <c r="D15" s="108"/>
      <c r="E15" s="108"/>
      <c r="F15" s="109"/>
    </row>
    <row r="16" spans="1:17" x14ac:dyDescent="0.3">
      <c r="A16" s="159">
        <v>2008</v>
      </c>
      <c r="B16" s="107">
        <v>-37</v>
      </c>
      <c r="C16" s="108"/>
      <c r="D16" s="108"/>
      <c r="E16" s="108"/>
      <c r="F16" s="109"/>
    </row>
    <row r="17" spans="1:15" x14ac:dyDescent="0.3">
      <c r="A17" s="159">
        <v>2007</v>
      </c>
      <c r="B17" s="104">
        <v>5.49</v>
      </c>
      <c r="C17" s="108"/>
      <c r="D17" s="108"/>
      <c r="E17" s="108"/>
      <c r="F17" s="109"/>
    </row>
    <row r="18" spans="1:15" x14ac:dyDescent="0.3">
      <c r="A18" s="159">
        <v>2006</v>
      </c>
      <c r="B18" s="104">
        <v>15.79</v>
      </c>
      <c r="C18" s="108"/>
      <c r="D18" s="108"/>
      <c r="E18" s="108"/>
      <c r="F18" s="109"/>
    </row>
    <row r="19" spans="1:15" x14ac:dyDescent="0.3">
      <c r="A19" s="159">
        <v>2005</v>
      </c>
      <c r="B19" s="104">
        <v>4.91</v>
      </c>
      <c r="C19" s="108"/>
      <c r="D19" s="108"/>
      <c r="E19" s="108"/>
      <c r="F19" s="109"/>
    </row>
    <row r="20" spans="1:15" x14ac:dyDescent="0.3">
      <c r="A20" s="159">
        <v>2004</v>
      </c>
      <c r="B20" s="104">
        <v>10.88</v>
      </c>
      <c r="C20" s="108"/>
      <c r="D20" s="108"/>
      <c r="E20" s="108"/>
      <c r="F20" s="109"/>
    </row>
    <row r="21" spans="1:15" x14ac:dyDescent="0.3">
      <c r="A21" s="159">
        <v>2003</v>
      </c>
      <c r="B21" s="104">
        <v>28.68</v>
      </c>
      <c r="C21" s="108"/>
      <c r="D21" s="108"/>
      <c r="E21" s="108"/>
      <c r="F21" s="109"/>
    </row>
    <row r="22" spans="1:15" x14ac:dyDescent="0.3">
      <c r="A22" s="159">
        <v>2002</v>
      </c>
      <c r="B22" s="104">
        <v>-22.1</v>
      </c>
      <c r="C22" s="108"/>
      <c r="D22" s="108"/>
      <c r="E22" s="108"/>
      <c r="F22" s="109"/>
    </row>
    <row r="23" spans="1:15" ht="16.2" thickBot="1" x14ac:dyDescent="0.35">
      <c r="A23" s="160">
        <v>2001</v>
      </c>
      <c r="B23" s="153">
        <v>-11.89</v>
      </c>
      <c r="C23" s="106"/>
      <c r="D23" s="105">
        <f>AVERAGE($B$4:$B23)</f>
        <v>9.057500000000001</v>
      </c>
      <c r="E23" s="106"/>
      <c r="F23" s="110"/>
    </row>
    <row r="24" spans="1:15" x14ac:dyDescent="0.3">
      <c r="A24" s="159">
        <v>2000</v>
      </c>
      <c r="B24" s="104">
        <v>-9.1</v>
      </c>
      <c r="C24" s="108"/>
      <c r="D24" s="108"/>
      <c r="E24" s="108"/>
      <c r="F24" s="109"/>
    </row>
    <row r="25" spans="1:15" x14ac:dyDescent="0.3">
      <c r="A25" s="159">
        <v>1999</v>
      </c>
      <c r="B25" s="104">
        <v>21.04</v>
      </c>
      <c r="C25" s="108"/>
      <c r="D25" s="108"/>
      <c r="E25" s="108"/>
      <c r="F25" s="109"/>
    </row>
    <row r="26" spans="1:15" x14ac:dyDescent="0.3">
      <c r="A26" s="159">
        <v>1998</v>
      </c>
      <c r="B26" s="107">
        <v>28.58</v>
      </c>
      <c r="C26" s="108"/>
      <c r="D26" s="108"/>
      <c r="E26" s="108"/>
      <c r="F26" s="109"/>
    </row>
    <row r="27" spans="1:15" x14ac:dyDescent="0.3">
      <c r="A27" s="159">
        <v>1997</v>
      </c>
      <c r="B27" s="104">
        <v>33.36</v>
      </c>
      <c r="C27" s="108"/>
      <c r="D27" s="108"/>
      <c r="E27" s="108"/>
      <c r="F27" s="109"/>
    </row>
    <row r="28" spans="1:15" x14ac:dyDescent="0.3">
      <c r="A28" s="159">
        <v>1996</v>
      </c>
      <c r="B28" s="104">
        <v>22.96</v>
      </c>
      <c r="C28" s="108"/>
      <c r="D28" s="108"/>
      <c r="E28" s="108"/>
      <c r="F28" s="109"/>
      <c r="H28" s="285" t="s">
        <v>162</v>
      </c>
      <c r="I28" s="286"/>
      <c r="J28" s="286"/>
      <c r="K28" s="275" t="s">
        <v>156</v>
      </c>
      <c r="L28" s="275" t="s">
        <v>157</v>
      </c>
      <c r="M28" s="275" t="s">
        <v>158</v>
      </c>
      <c r="N28" s="275" t="s">
        <v>159</v>
      </c>
      <c r="O28" s="276" t="s">
        <v>160</v>
      </c>
    </row>
    <row r="29" spans="1:15" x14ac:dyDescent="0.3">
      <c r="A29" s="159">
        <v>1995</v>
      </c>
      <c r="B29" s="104">
        <v>37.58</v>
      </c>
      <c r="C29" s="108"/>
      <c r="D29" s="108"/>
      <c r="E29" s="108"/>
      <c r="F29" s="109"/>
      <c r="H29" s="287" t="s">
        <v>161</v>
      </c>
      <c r="I29" s="288"/>
      <c r="J29" s="288"/>
      <c r="K29" s="277">
        <f>C13</f>
        <v>14.487</v>
      </c>
      <c r="L29" s="277">
        <f>D23</f>
        <v>9.057500000000001</v>
      </c>
      <c r="M29" s="277">
        <f>E33</f>
        <v>12.168666666666665</v>
      </c>
      <c r="N29" s="277">
        <f>F43</f>
        <v>12.784499999999998</v>
      </c>
      <c r="O29" s="278">
        <f>F98</f>
        <v>12.155157894736842</v>
      </c>
    </row>
    <row r="30" spans="1:15" x14ac:dyDescent="0.3">
      <c r="A30" s="159">
        <v>1994</v>
      </c>
      <c r="B30" s="104">
        <v>1.32</v>
      </c>
      <c r="C30" s="108"/>
      <c r="D30" s="108"/>
      <c r="E30" s="108"/>
      <c r="F30" s="109"/>
    </row>
    <row r="31" spans="1:15" x14ac:dyDescent="0.3">
      <c r="A31" s="159">
        <v>1993</v>
      </c>
      <c r="B31" s="104">
        <v>10.08</v>
      </c>
      <c r="C31" s="108"/>
      <c r="D31" s="108"/>
      <c r="E31" s="108"/>
      <c r="F31" s="109"/>
    </row>
    <row r="32" spans="1:15" x14ac:dyDescent="0.3">
      <c r="A32" s="159">
        <v>1992</v>
      </c>
      <c r="B32" s="104">
        <v>7.62</v>
      </c>
      <c r="C32" s="108"/>
      <c r="D32" s="108"/>
      <c r="E32" s="108"/>
      <c r="F32" s="109"/>
    </row>
    <row r="33" spans="1:6" ht="16.2" thickBot="1" x14ac:dyDescent="0.35">
      <c r="A33" s="160">
        <v>1991</v>
      </c>
      <c r="B33" s="153">
        <v>30.47</v>
      </c>
      <c r="C33" s="106"/>
      <c r="D33" s="106"/>
      <c r="E33" s="105">
        <f>AVERAGE($B$4:$B33)</f>
        <v>12.168666666666665</v>
      </c>
      <c r="F33" s="110"/>
    </row>
    <row r="34" spans="1:6" x14ac:dyDescent="0.3">
      <c r="A34" s="159">
        <v>1990</v>
      </c>
      <c r="B34" s="104">
        <v>-3.1</v>
      </c>
      <c r="C34" s="108"/>
      <c r="D34" s="108"/>
      <c r="E34" s="108"/>
      <c r="F34" s="109"/>
    </row>
    <row r="35" spans="1:6" x14ac:dyDescent="0.3">
      <c r="A35" s="159">
        <v>1989</v>
      </c>
      <c r="B35" s="104">
        <v>31.69</v>
      </c>
      <c r="C35" s="108"/>
      <c r="D35" s="108"/>
      <c r="E35" s="108"/>
      <c r="F35" s="111"/>
    </row>
    <row r="36" spans="1:6" x14ac:dyDescent="0.3">
      <c r="A36" s="159">
        <v>1988</v>
      </c>
      <c r="B36" s="107">
        <v>16.61</v>
      </c>
      <c r="C36" s="108"/>
      <c r="D36" s="108"/>
      <c r="E36" s="108"/>
      <c r="F36" s="109"/>
    </row>
    <row r="37" spans="1:6" x14ac:dyDescent="0.3">
      <c r="A37" s="159">
        <v>1987</v>
      </c>
      <c r="B37" s="104">
        <v>5.25</v>
      </c>
      <c r="C37" s="108"/>
      <c r="D37" s="108"/>
      <c r="E37" s="108"/>
      <c r="F37" s="109"/>
    </row>
    <row r="38" spans="1:6" x14ac:dyDescent="0.3">
      <c r="A38" s="159">
        <v>1986</v>
      </c>
      <c r="B38" s="104">
        <v>18.670000000000002</v>
      </c>
      <c r="C38" s="108"/>
      <c r="D38" s="108"/>
      <c r="E38" s="108"/>
      <c r="F38" s="109"/>
    </row>
    <row r="39" spans="1:6" x14ac:dyDescent="0.3">
      <c r="A39" s="159">
        <v>1985</v>
      </c>
      <c r="B39" s="104">
        <v>31.73</v>
      </c>
      <c r="C39" s="108"/>
      <c r="D39" s="108"/>
      <c r="E39" s="108"/>
      <c r="F39" s="109"/>
    </row>
    <row r="40" spans="1:6" x14ac:dyDescent="0.3">
      <c r="A40" s="159">
        <v>1984</v>
      </c>
      <c r="B40" s="104">
        <v>6.27</v>
      </c>
      <c r="C40" s="108"/>
      <c r="D40" s="108"/>
      <c r="E40" s="108"/>
      <c r="F40" s="109"/>
    </row>
    <row r="41" spans="1:6" x14ac:dyDescent="0.3">
      <c r="A41" s="159">
        <v>1983</v>
      </c>
      <c r="B41" s="104">
        <v>22.56</v>
      </c>
      <c r="C41" s="108"/>
      <c r="D41" s="108"/>
      <c r="E41" s="108"/>
      <c r="F41" s="109"/>
    </row>
    <row r="42" spans="1:6" x14ac:dyDescent="0.3">
      <c r="A42" s="159">
        <v>1982</v>
      </c>
      <c r="B42" s="104">
        <v>21.55</v>
      </c>
      <c r="C42" s="108"/>
      <c r="D42" s="108"/>
      <c r="E42" s="108"/>
      <c r="F42" s="109"/>
    </row>
    <row r="43" spans="1:6" ht="16.2" thickBot="1" x14ac:dyDescent="0.35">
      <c r="A43" s="160">
        <v>1981</v>
      </c>
      <c r="B43" s="153">
        <v>-4.91</v>
      </c>
      <c r="C43" s="106"/>
      <c r="D43" s="106"/>
      <c r="E43" s="106"/>
      <c r="F43" s="112">
        <f>AVERAGE($B$4:$B43)</f>
        <v>12.784499999999998</v>
      </c>
    </row>
    <row r="44" spans="1:6" x14ac:dyDescent="0.3">
      <c r="A44" s="159">
        <v>1980</v>
      </c>
      <c r="B44" s="104">
        <v>32.42</v>
      </c>
      <c r="C44" s="108"/>
      <c r="D44" s="108"/>
      <c r="E44" s="108"/>
      <c r="F44" s="109"/>
    </row>
    <row r="45" spans="1:6" x14ac:dyDescent="0.3">
      <c r="A45" s="159">
        <v>1979</v>
      </c>
      <c r="B45" s="104">
        <v>18.440000000000001</v>
      </c>
      <c r="C45" s="108"/>
      <c r="D45" s="108"/>
      <c r="E45" s="108"/>
      <c r="F45" s="109"/>
    </row>
    <row r="46" spans="1:6" x14ac:dyDescent="0.3">
      <c r="A46" s="159">
        <v>1978</v>
      </c>
      <c r="B46" s="107">
        <v>6.56</v>
      </c>
      <c r="C46" s="108"/>
      <c r="D46" s="108"/>
      <c r="E46" s="108"/>
      <c r="F46" s="109"/>
    </row>
    <row r="47" spans="1:6" x14ac:dyDescent="0.3">
      <c r="A47" s="159">
        <v>1977</v>
      </c>
      <c r="B47" s="104">
        <v>-7.18</v>
      </c>
      <c r="C47" s="108"/>
      <c r="D47" s="108"/>
      <c r="E47" s="108"/>
      <c r="F47" s="109"/>
    </row>
    <row r="48" spans="1:6" x14ac:dyDescent="0.3">
      <c r="A48" s="159">
        <v>1976</v>
      </c>
      <c r="B48" s="104">
        <v>23.84</v>
      </c>
      <c r="C48" s="108"/>
      <c r="D48" s="108"/>
      <c r="E48" s="108"/>
      <c r="F48" s="109"/>
    </row>
    <row r="49" spans="1:6" x14ac:dyDescent="0.3">
      <c r="A49" s="159">
        <v>1975</v>
      </c>
      <c r="B49" s="104">
        <v>37.200000000000003</v>
      </c>
      <c r="C49" s="108"/>
      <c r="D49" s="108"/>
      <c r="E49" s="108"/>
      <c r="F49" s="109"/>
    </row>
    <row r="50" spans="1:6" x14ac:dyDescent="0.3">
      <c r="A50" s="159">
        <v>1974</v>
      </c>
      <c r="B50" s="104">
        <v>-26.47</v>
      </c>
      <c r="C50" s="108"/>
      <c r="D50" s="108"/>
      <c r="E50" s="108"/>
      <c r="F50" s="109"/>
    </row>
    <row r="51" spans="1:6" x14ac:dyDescent="0.3">
      <c r="A51" s="159">
        <v>1973</v>
      </c>
      <c r="B51" s="104">
        <v>-14.66</v>
      </c>
      <c r="C51" s="108"/>
      <c r="D51" s="108"/>
      <c r="E51" s="108"/>
      <c r="F51" s="109"/>
    </row>
    <row r="52" spans="1:6" x14ac:dyDescent="0.3">
      <c r="A52" s="159">
        <v>1972</v>
      </c>
      <c r="B52" s="104">
        <v>18.98</v>
      </c>
      <c r="C52" s="108"/>
      <c r="D52" s="108"/>
      <c r="E52" s="108"/>
      <c r="F52" s="109"/>
    </row>
    <row r="53" spans="1:6" ht="16.2" thickBot="1" x14ac:dyDescent="0.35">
      <c r="A53" s="160">
        <v>1971</v>
      </c>
      <c r="B53" s="153">
        <v>14.31</v>
      </c>
      <c r="C53" s="108"/>
      <c r="D53" s="108"/>
      <c r="E53" s="108"/>
      <c r="F53" s="109"/>
    </row>
    <row r="54" spans="1:6" x14ac:dyDescent="0.3">
      <c r="A54" s="159">
        <v>1970</v>
      </c>
      <c r="B54" s="104">
        <v>4.01</v>
      </c>
      <c r="C54" s="108"/>
      <c r="D54" s="108"/>
      <c r="E54" s="108"/>
      <c r="F54" s="109"/>
    </row>
    <row r="55" spans="1:6" x14ac:dyDescent="0.3">
      <c r="A55" s="159">
        <v>1969</v>
      </c>
      <c r="B55" s="104">
        <v>-8.5</v>
      </c>
      <c r="C55" s="108"/>
      <c r="D55" s="108"/>
      <c r="E55" s="108"/>
      <c r="F55" s="109"/>
    </row>
    <row r="56" spans="1:6" x14ac:dyDescent="0.3">
      <c r="A56" s="159">
        <v>1968</v>
      </c>
      <c r="B56" s="107">
        <v>11.06</v>
      </c>
      <c r="C56" s="108"/>
      <c r="D56" s="108"/>
      <c r="E56" s="108"/>
      <c r="F56" s="109"/>
    </row>
    <row r="57" spans="1:6" x14ac:dyDescent="0.3">
      <c r="A57" s="159">
        <v>1967</v>
      </c>
      <c r="B57" s="104">
        <v>23.98</v>
      </c>
      <c r="C57" s="108"/>
      <c r="D57" s="108"/>
      <c r="E57" s="108"/>
      <c r="F57" s="109"/>
    </row>
    <row r="58" spans="1:6" x14ac:dyDescent="0.3">
      <c r="A58" s="159">
        <v>1966</v>
      </c>
      <c r="B58" s="104">
        <v>-10.06</v>
      </c>
      <c r="C58" s="108"/>
      <c r="D58" s="108"/>
      <c r="E58" s="108"/>
      <c r="F58" s="109"/>
    </row>
    <row r="59" spans="1:6" x14ac:dyDescent="0.3">
      <c r="A59" s="159">
        <v>1965</v>
      </c>
      <c r="B59" s="104">
        <v>12.45</v>
      </c>
      <c r="C59" s="108"/>
      <c r="D59" s="108"/>
      <c r="E59" s="108"/>
      <c r="F59" s="109"/>
    </row>
    <row r="60" spans="1:6" x14ac:dyDescent="0.3">
      <c r="A60" s="159">
        <v>1964</v>
      </c>
      <c r="B60" s="104">
        <v>16.48</v>
      </c>
      <c r="C60" s="108"/>
      <c r="D60" s="108"/>
      <c r="E60" s="108"/>
      <c r="F60" s="109"/>
    </row>
    <row r="61" spans="1:6" x14ac:dyDescent="0.3">
      <c r="A61" s="159">
        <v>1963</v>
      </c>
      <c r="B61" s="104">
        <v>22.8</v>
      </c>
      <c r="C61" s="108"/>
      <c r="D61" s="108"/>
      <c r="E61" s="108"/>
      <c r="F61" s="109"/>
    </row>
    <row r="62" spans="1:6" x14ac:dyDescent="0.3">
      <c r="A62" s="159">
        <v>1962</v>
      </c>
      <c r="B62" s="104">
        <v>-8.73</v>
      </c>
      <c r="C62" s="108"/>
      <c r="D62" s="108"/>
      <c r="E62" s="108"/>
      <c r="F62" s="109"/>
    </row>
    <row r="63" spans="1:6" ht="16.2" thickBot="1" x14ac:dyDescent="0.35">
      <c r="A63" s="160">
        <v>1961</v>
      </c>
      <c r="B63" s="153">
        <v>26.89</v>
      </c>
      <c r="C63" s="108"/>
      <c r="D63" s="108"/>
      <c r="E63" s="108"/>
      <c r="F63" s="109"/>
    </row>
    <row r="64" spans="1:6" x14ac:dyDescent="0.3">
      <c r="A64" s="159">
        <v>1960</v>
      </c>
      <c r="B64" s="104">
        <v>0.47</v>
      </c>
      <c r="C64" s="108"/>
      <c r="D64" s="108"/>
      <c r="E64" s="108"/>
      <c r="F64" s="109"/>
    </row>
    <row r="65" spans="1:6" x14ac:dyDescent="0.3">
      <c r="A65" s="159">
        <v>1959</v>
      </c>
      <c r="B65" s="104">
        <v>11.96</v>
      </c>
      <c r="C65" s="108"/>
      <c r="D65" s="108"/>
      <c r="E65" s="108"/>
      <c r="F65" s="109"/>
    </row>
    <row r="66" spans="1:6" x14ac:dyDescent="0.3">
      <c r="A66" s="159">
        <v>1958</v>
      </c>
      <c r="B66" s="107">
        <v>43.36</v>
      </c>
      <c r="C66" s="108"/>
      <c r="D66" s="108"/>
      <c r="E66" s="108"/>
      <c r="F66" s="109"/>
    </row>
    <row r="67" spans="1:6" x14ac:dyDescent="0.3">
      <c r="A67" s="159">
        <v>1957</v>
      </c>
      <c r="B67" s="104">
        <v>-10.78</v>
      </c>
      <c r="C67" s="108"/>
      <c r="D67" s="108"/>
      <c r="E67" s="108"/>
      <c r="F67" s="109"/>
    </row>
    <row r="68" spans="1:6" x14ac:dyDescent="0.3">
      <c r="A68" s="159">
        <v>1956</v>
      </c>
      <c r="B68" s="104">
        <v>6.56</v>
      </c>
      <c r="C68" s="108"/>
      <c r="D68" s="108"/>
      <c r="E68" s="108"/>
      <c r="F68" s="109"/>
    </row>
    <row r="69" spans="1:6" x14ac:dyDescent="0.3">
      <c r="A69" s="159">
        <v>1955</v>
      </c>
      <c r="B69" s="104">
        <v>31.56</v>
      </c>
      <c r="C69" s="108"/>
      <c r="D69" s="108"/>
      <c r="E69" s="108"/>
      <c r="F69" s="109"/>
    </row>
    <row r="70" spans="1:6" x14ac:dyDescent="0.3">
      <c r="A70" s="159">
        <v>1954</v>
      </c>
      <c r="B70" s="104">
        <v>52.62</v>
      </c>
      <c r="C70" s="108"/>
      <c r="D70" s="108"/>
      <c r="E70" s="108"/>
      <c r="F70" s="109"/>
    </row>
    <row r="71" spans="1:6" x14ac:dyDescent="0.3">
      <c r="A71" s="159">
        <v>1953</v>
      </c>
      <c r="B71" s="104">
        <v>-0.99</v>
      </c>
      <c r="C71" s="108"/>
      <c r="D71" s="108"/>
      <c r="E71" s="108"/>
      <c r="F71" s="109"/>
    </row>
    <row r="72" spans="1:6" x14ac:dyDescent="0.3">
      <c r="A72" s="159">
        <v>1952</v>
      </c>
      <c r="B72" s="104">
        <v>18.37</v>
      </c>
      <c r="C72" s="108"/>
      <c r="D72" s="108"/>
      <c r="E72" s="108"/>
      <c r="F72" s="109"/>
    </row>
    <row r="73" spans="1:6" ht="16.2" thickBot="1" x14ac:dyDescent="0.35">
      <c r="A73" s="160">
        <v>1951</v>
      </c>
      <c r="B73" s="153">
        <v>24.02</v>
      </c>
      <c r="C73" s="108"/>
      <c r="D73" s="108"/>
      <c r="E73" s="108"/>
      <c r="F73" s="109"/>
    </row>
    <row r="74" spans="1:6" x14ac:dyDescent="0.3">
      <c r="A74" s="159">
        <v>1950</v>
      </c>
      <c r="B74" s="104">
        <v>31.71</v>
      </c>
      <c r="C74" s="108"/>
      <c r="D74" s="108"/>
      <c r="E74" s="108"/>
      <c r="F74" s="109"/>
    </row>
    <row r="75" spans="1:6" x14ac:dyDescent="0.3">
      <c r="A75" s="159">
        <v>1949</v>
      </c>
      <c r="B75" s="104">
        <v>18.79</v>
      </c>
      <c r="C75" s="108"/>
      <c r="D75" s="108"/>
      <c r="E75" s="108"/>
      <c r="F75" s="109"/>
    </row>
    <row r="76" spans="1:6" x14ac:dyDescent="0.3">
      <c r="A76" s="159">
        <v>1948</v>
      </c>
      <c r="B76" s="107">
        <v>5.5</v>
      </c>
      <c r="C76" s="108"/>
      <c r="D76" s="108"/>
      <c r="E76" s="108"/>
      <c r="F76" s="109"/>
    </row>
    <row r="77" spans="1:6" x14ac:dyDescent="0.3">
      <c r="A77" s="159">
        <v>1947</v>
      </c>
      <c r="B77" s="104">
        <v>5.71</v>
      </c>
      <c r="C77" s="108"/>
      <c r="D77" s="108"/>
      <c r="E77" s="108"/>
      <c r="F77" s="109"/>
    </row>
    <row r="78" spans="1:6" x14ac:dyDescent="0.3">
      <c r="A78" s="159">
        <v>1946</v>
      </c>
      <c r="B78" s="104">
        <v>-8.07</v>
      </c>
      <c r="C78" s="108"/>
      <c r="D78" s="108"/>
      <c r="E78" s="108"/>
      <c r="F78" s="109"/>
    </row>
    <row r="79" spans="1:6" x14ac:dyDescent="0.3">
      <c r="A79" s="159">
        <v>1945</v>
      </c>
      <c r="B79" s="104">
        <v>36.44</v>
      </c>
      <c r="C79" s="108"/>
      <c r="D79" s="108"/>
      <c r="E79" s="108"/>
      <c r="F79" s="109"/>
    </row>
    <row r="80" spans="1:6" x14ac:dyDescent="0.3">
      <c r="A80" s="159">
        <v>1944</v>
      </c>
      <c r="B80" s="104">
        <v>19.75</v>
      </c>
      <c r="C80" s="108"/>
      <c r="D80" s="108"/>
      <c r="E80" s="108"/>
      <c r="F80" s="109"/>
    </row>
    <row r="81" spans="1:6" x14ac:dyDescent="0.3">
      <c r="A81" s="159">
        <v>1943</v>
      </c>
      <c r="B81" s="104">
        <v>25.9</v>
      </c>
      <c r="C81" s="108"/>
      <c r="D81" s="108"/>
      <c r="E81" s="108"/>
      <c r="F81" s="109"/>
    </row>
    <row r="82" spans="1:6" x14ac:dyDescent="0.3">
      <c r="A82" s="159">
        <v>1942</v>
      </c>
      <c r="B82" s="104">
        <v>20.34</v>
      </c>
      <c r="C82" s="108"/>
      <c r="D82" s="108"/>
      <c r="E82" s="108"/>
      <c r="F82" s="109"/>
    </row>
    <row r="83" spans="1:6" ht="16.2" thickBot="1" x14ac:dyDescent="0.35">
      <c r="A83" s="160">
        <v>1941</v>
      </c>
      <c r="B83" s="153">
        <v>-11.59</v>
      </c>
      <c r="C83" s="108"/>
      <c r="D83" s="108"/>
      <c r="E83" s="108"/>
      <c r="F83" s="109"/>
    </row>
    <row r="84" spans="1:6" x14ac:dyDescent="0.3">
      <c r="A84" s="159">
        <v>1940</v>
      </c>
      <c r="B84" s="104">
        <v>-9.7799999999999994</v>
      </c>
      <c r="C84" s="108"/>
      <c r="D84" s="108"/>
      <c r="E84" s="108"/>
      <c r="F84" s="109"/>
    </row>
    <row r="85" spans="1:6" x14ac:dyDescent="0.3">
      <c r="A85" s="159">
        <v>1939</v>
      </c>
      <c r="B85" s="104">
        <v>-0.41</v>
      </c>
      <c r="C85" s="108"/>
      <c r="D85" s="108"/>
      <c r="E85" s="108"/>
      <c r="F85" s="109"/>
    </row>
    <row r="86" spans="1:6" x14ac:dyDescent="0.3">
      <c r="A86" s="159">
        <v>1938</v>
      </c>
      <c r="B86" s="107">
        <v>31.12</v>
      </c>
      <c r="C86" s="108"/>
      <c r="D86" s="108"/>
      <c r="E86" s="108"/>
      <c r="F86" s="109"/>
    </row>
    <row r="87" spans="1:6" x14ac:dyDescent="0.3">
      <c r="A87" s="159">
        <v>1937</v>
      </c>
      <c r="B87" s="104">
        <v>-35.03</v>
      </c>
      <c r="C87" s="108"/>
      <c r="D87" s="108"/>
      <c r="E87" s="108"/>
      <c r="F87" s="109"/>
    </row>
    <row r="88" spans="1:6" x14ac:dyDescent="0.3">
      <c r="A88" s="159">
        <v>1936</v>
      </c>
      <c r="B88" s="104">
        <v>33.92</v>
      </c>
      <c r="C88" s="108"/>
      <c r="D88" s="108"/>
      <c r="E88" s="108"/>
      <c r="F88" s="109"/>
    </row>
    <row r="89" spans="1:6" x14ac:dyDescent="0.3">
      <c r="A89" s="159">
        <v>1935</v>
      </c>
      <c r="B89" s="104">
        <v>47.67</v>
      </c>
      <c r="C89" s="108"/>
      <c r="D89" s="108"/>
      <c r="E89" s="108"/>
      <c r="F89" s="109"/>
    </row>
    <row r="90" spans="1:6" x14ac:dyDescent="0.3">
      <c r="A90" s="159">
        <v>1934</v>
      </c>
      <c r="B90" s="104">
        <v>-1.44</v>
      </c>
      <c r="C90" s="108"/>
      <c r="D90" s="108"/>
      <c r="E90" s="108"/>
      <c r="F90" s="109"/>
    </row>
    <row r="91" spans="1:6" x14ac:dyDescent="0.3">
      <c r="A91" s="159">
        <v>1933</v>
      </c>
      <c r="B91" s="104">
        <v>53.99</v>
      </c>
      <c r="C91" s="108"/>
      <c r="D91" s="108"/>
      <c r="E91" s="108"/>
      <c r="F91" s="109"/>
    </row>
    <row r="92" spans="1:6" x14ac:dyDescent="0.3">
      <c r="A92" s="159">
        <v>1932</v>
      </c>
      <c r="B92" s="104">
        <v>-8.19</v>
      </c>
      <c r="C92" s="108"/>
      <c r="D92" s="108"/>
      <c r="E92" s="108"/>
      <c r="F92" s="109"/>
    </row>
    <row r="93" spans="1:6" ht="16.2" thickBot="1" x14ac:dyDescent="0.35">
      <c r="A93" s="160">
        <v>1931</v>
      </c>
      <c r="B93" s="153">
        <v>-43.34</v>
      </c>
      <c r="C93" s="108"/>
      <c r="D93" s="108"/>
      <c r="E93" s="108"/>
      <c r="F93" s="109"/>
    </row>
    <row r="94" spans="1:6" x14ac:dyDescent="0.3">
      <c r="A94" s="161">
        <v>1930</v>
      </c>
      <c r="B94" s="154">
        <v>-24.9</v>
      </c>
      <c r="C94" s="108"/>
      <c r="D94" s="108"/>
      <c r="E94" s="108"/>
      <c r="F94" s="109"/>
    </row>
    <row r="95" spans="1:6" x14ac:dyDescent="0.3">
      <c r="A95" s="159">
        <v>1929</v>
      </c>
      <c r="B95" s="107">
        <v>-8.42</v>
      </c>
      <c r="C95" s="108"/>
      <c r="D95" s="108"/>
      <c r="E95" s="108"/>
      <c r="F95" s="109"/>
    </row>
    <row r="96" spans="1:6" x14ac:dyDescent="0.3">
      <c r="A96" s="159">
        <v>1928</v>
      </c>
      <c r="B96" s="104">
        <v>43.61</v>
      </c>
      <c r="C96" s="108"/>
      <c r="D96" s="108"/>
      <c r="E96" s="108"/>
      <c r="F96" s="109"/>
    </row>
    <row r="97" spans="1:6" x14ac:dyDescent="0.3">
      <c r="A97" s="159">
        <v>1927</v>
      </c>
      <c r="B97" s="104">
        <v>37.49</v>
      </c>
      <c r="C97" s="108"/>
      <c r="D97" s="108"/>
      <c r="E97" s="108"/>
      <c r="F97" s="109"/>
    </row>
    <row r="98" spans="1:6" ht="16.2" thickBot="1" x14ac:dyDescent="0.35">
      <c r="A98" s="160">
        <v>1926</v>
      </c>
      <c r="B98" s="153">
        <v>11.62</v>
      </c>
      <c r="C98" s="106"/>
      <c r="D98" s="106"/>
      <c r="E98" s="106"/>
      <c r="F98" s="112">
        <f>AVERAGE(B4:B98)</f>
        <v>12.155157894736842</v>
      </c>
    </row>
    <row r="99" spans="1:6" x14ac:dyDescent="0.3">
      <c r="A99" s="73"/>
    </row>
    <row r="100" spans="1:6" x14ac:dyDescent="0.3">
      <c r="A100" s="74"/>
    </row>
    <row r="101" spans="1:6" x14ac:dyDescent="0.3">
      <c r="A101" s="72"/>
    </row>
    <row r="102" spans="1:6" x14ac:dyDescent="0.3">
      <c r="A102" s="74"/>
    </row>
    <row r="103" spans="1:6" x14ac:dyDescent="0.3">
      <c r="A103" s="72"/>
    </row>
    <row r="104" spans="1:6" x14ac:dyDescent="0.3">
      <c r="A104" s="74"/>
    </row>
    <row r="105" spans="1:6" x14ac:dyDescent="0.3">
      <c r="A105" s="73"/>
    </row>
    <row r="106" spans="1:6" x14ac:dyDescent="0.3">
      <c r="A106" s="74"/>
    </row>
    <row r="107" spans="1:6" x14ac:dyDescent="0.3">
      <c r="A107" s="72"/>
    </row>
    <row r="108" spans="1:6" x14ac:dyDescent="0.3">
      <c r="A108" s="74"/>
    </row>
    <row r="109" spans="1:6" x14ac:dyDescent="0.3">
      <c r="A109" s="73"/>
    </row>
    <row r="110" spans="1:6" x14ac:dyDescent="0.3">
      <c r="A110" s="75"/>
    </row>
    <row r="111" spans="1:6" x14ac:dyDescent="0.3">
      <c r="A111" s="76"/>
    </row>
    <row r="112" spans="1:6" x14ac:dyDescent="0.3">
      <c r="A112" s="73"/>
    </row>
    <row r="113" spans="1:1" s="71" customFormat="1" x14ac:dyDescent="0.3">
      <c r="A113" s="75"/>
    </row>
    <row r="114" spans="1:1" s="71" customFormat="1" x14ac:dyDescent="0.3">
      <c r="A114" s="77"/>
    </row>
    <row r="115" spans="1:1" s="71" customFormat="1" x14ac:dyDescent="0.3">
      <c r="A115" s="73"/>
    </row>
    <row r="116" spans="1:1" s="71" customFormat="1" x14ac:dyDescent="0.3">
      <c r="A116" s="75"/>
    </row>
    <row r="117" spans="1:1" s="71" customFormat="1" x14ac:dyDescent="0.3">
      <c r="A117" s="78"/>
    </row>
  </sheetData>
  <mergeCells count="4">
    <mergeCell ref="G3:M3"/>
    <mergeCell ref="G4:Q8"/>
    <mergeCell ref="H28:J28"/>
    <mergeCell ref="H29:J29"/>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AT121"/>
  <sheetViews>
    <sheetView showGridLines="0" showRowColHeaders="0" tabSelected="1" topLeftCell="A4" zoomScale="80" zoomScaleNormal="80" workbookViewId="0">
      <selection activeCell="F12" sqref="F12"/>
    </sheetView>
  </sheetViews>
  <sheetFormatPr defaultRowHeight="14.4" x14ac:dyDescent="0.3"/>
  <cols>
    <col min="1" max="1" width="4.44140625" bestFit="1" customWidth="1"/>
    <col min="2" max="2" width="4.88671875" bestFit="1" customWidth="1"/>
    <col min="3" max="3" width="6.77734375" customWidth="1"/>
    <col min="4" max="4" width="1.21875" customWidth="1"/>
    <col min="5" max="5" width="6.44140625" style="94" customWidth="1"/>
    <col min="6" max="7" width="3.6640625" customWidth="1"/>
    <col min="8" max="8" width="7.77734375" customWidth="1"/>
    <col min="9" max="9" width="2.6640625" customWidth="1"/>
    <col min="10" max="10" width="7.6640625" customWidth="1"/>
    <col min="11" max="11" width="4.6640625" customWidth="1"/>
    <col min="12" max="12" width="2.6640625" customWidth="1"/>
    <col min="13" max="14" width="4.6640625" customWidth="1"/>
    <col min="15" max="15" width="2.6640625" customWidth="1"/>
    <col min="16" max="17" width="4.6640625" customWidth="1"/>
    <col min="18" max="18" width="2.6640625" customWidth="1"/>
    <col min="19" max="20" width="4.6640625" customWidth="1"/>
    <col min="21" max="21" width="2.6640625" customWidth="1"/>
    <col min="22" max="23" width="4.6640625" customWidth="1"/>
    <col min="24" max="24" width="2.6640625" customWidth="1"/>
    <col min="25" max="25" width="4.6640625" customWidth="1"/>
    <col min="26" max="26" width="2.6640625" customWidth="1"/>
    <col min="27" max="27" width="1.77734375" customWidth="1"/>
    <col min="28" max="28" width="2.6640625" customWidth="1"/>
    <col min="29" max="29" width="4.6640625" customWidth="1"/>
    <col min="30" max="30" width="6" customWidth="1"/>
    <col min="31" max="40" width="4.6640625" customWidth="1"/>
    <col min="41" max="41" width="2.6640625" customWidth="1"/>
    <col min="42" max="56" width="4.6640625" customWidth="1"/>
  </cols>
  <sheetData>
    <row r="1" spans="1:46" x14ac:dyDescent="0.3">
      <c r="N1" s="1"/>
      <c r="O1" s="1"/>
      <c r="P1" s="1"/>
      <c r="Q1" s="1"/>
      <c r="V1" s="1"/>
      <c r="W1" s="1"/>
      <c r="X1" s="1"/>
      <c r="Y1" s="1"/>
    </row>
    <row r="2" spans="1:46" ht="23.4" x14ac:dyDescent="0.45">
      <c r="E2" s="348" t="s">
        <v>125</v>
      </c>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row>
    <row r="3" spans="1:46" ht="15" thickBot="1" x14ac:dyDescent="0.35">
      <c r="M3" s="69"/>
      <c r="N3" s="1"/>
      <c r="O3" s="1"/>
      <c r="P3" s="1"/>
      <c r="Q3" s="1"/>
      <c r="R3" s="1"/>
      <c r="S3" s="1"/>
      <c r="T3" s="1"/>
      <c r="U3" s="1"/>
      <c r="V3" s="1"/>
      <c r="W3" s="1"/>
      <c r="X3" s="1"/>
      <c r="Y3" s="1"/>
      <c r="Z3" s="1"/>
      <c r="AA3" s="1"/>
      <c r="AB3" s="1"/>
      <c r="AC3" s="1"/>
      <c r="AD3" s="1"/>
      <c r="AE3" s="1"/>
      <c r="AF3" s="1"/>
      <c r="AG3" s="1"/>
      <c r="AH3" s="1"/>
      <c r="AI3" s="1"/>
      <c r="AJ3" s="1"/>
      <c r="AK3" s="1"/>
      <c r="AL3" s="1"/>
      <c r="AM3" s="1"/>
    </row>
    <row r="4" spans="1:46" ht="15.6" thickTop="1" thickBot="1" x14ac:dyDescent="0.35">
      <c r="E4" s="95"/>
      <c r="F4" s="23"/>
      <c r="G4" s="24"/>
      <c r="H4" s="23"/>
      <c r="I4" s="23"/>
      <c r="J4" s="23"/>
      <c r="K4" s="23"/>
      <c r="L4" s="23"/>
      <c r="M4" s="23"/>
      <c r="N4" s="25"/>
      <c r="O4" s="25"/>
      <c r="P4" s="25"/>
      <c r="Q4" s="25"/>
      <c r="R4" s="25"/>
      <c r="S4" s="25"/>
      <c r="T4" s="25"/>
      <c r="U4" s="25"/>
      <c r="V4" s="25"/>
      <c r="W4" s="25"/>
      <c r="X4" s="25"/>
      <c r="Y4" s="25"/>
      <c r="Z4" s="26"/>
      <c r="AB4" s="11"/>
      <c r="AC4" s="12"/>
      <c r="AD4" s="179" t="s">
        <v>129</v>
      </c>
      <c r="AE4" s="12"/>
      <c r="AF4" s="128"/>
      <c r="AG4" s="129">
        <f>AF9/AL9</f>
        <v>0.66666666666666663</v>
      </c>
      <c r="AH4" s="128"/>
      <c r="AI4" s="128"/>
      <c r="AJ4" s="130">
        <f>AI9/AL9</f>
        <v>0.33333333333333331</v>
      </c>
      <c r="AK4" s="128"/>
      <c r="AL4" s="353">
        <f>AL9/AL9</f>
        <v>1</v>
      </c>
      <c r="AM4" s="353"/>
      <c r="AN4" s="353"/>
      <c r="AO4" s="13"/>
    </row>
    <row r="5" spans="1:46" ht="15" thickBot="1" x14ac:dyDescent="0.35">
      <c r="E5" s="96"/>
      <c r="F5" s="325" t="s">
        <v>24</v>
      </c>
      <c r="G5" s="326"/>
      <c r="H5" s="326"/>
      <c r="I5" s="326"/>
      <c r="J5" s="327"/>
      <c r="K5" s="349">
        <v>100000</v>
      </c>
      <c r="L5" s="350"/>
      <c r="M5" s="351"/>
      <c r="N5" s="28"/>
      <c r="O5" s="28"/>
      <c r="P5" s="325" t="s">
        <v>14</v>
      </c>
      <c r="Q5" s="326"/>
      <c r="R5" s="326"/>
      <c r="S5" s="326"/>
      <c r="T5" s="327"/>
      <c r="U5" s="322">
        <v>50</v>
      </c>
      <c r="V5" s="323"/>
      <c r="W5" s="324"/>
      <c r="X5" s="51" t="s">
        <v>1</v>
      </c>
      <c r="Y5" s="30"/>
      <c r="Z5" s="31"/>
      <c r="AB5" s="14"/>
      <c r="AC5" s="294"/>
      <c r="AD5" s="295"/>
      <c r="AE5" s="296"/>
      <c r="AF5" s="294" t="s">
        <v>103</v>
      </c>
      <c r="AG5" s="295"/>
      <c r="AH5" s="296"/>
      <c r="AI5" s="294" t="s">
        <v>103</v>
      </c>
      <c r="AJ5" s="295"/>
      <c r="AK5" s="296"/>
      <c r="AL5" s="294"/>
      <c r="AM5" s="295"/>
      <c r="AN5" s="296"/>
      <c r="AO5" s="15"/>
      <c r="AP5" s="1"/>
      <c r="AQ5" s="1"/>
      <c r="AR5" s="1"/>
      <c r="AS5" s="1"/>
      <c r="AT5" s="1"/>
    </row>
    <row r="6" spans="1:46" ht="15" thickBot="1" x14ac:dyDescent="0.35">
      <c r="E6" s="96"/>
      <c r="F6" s="325" t="s">
        <v>23</v>
      </c>
      <c r="G6" s="326"/>
      <c r="H6" s="326"/>
      <c r="I6" s="326"/>
      <c r="J6" s="327"/>
      <c r="K6" s="359">
        <v>3</v>
      </c>
      <c r="L6" s="360"/>
      <c r="M6" s="361"/>
      <c r="N6" s="51" t="s">
        <v>1</v>
      </c>
      <c r="O6" s="30"/>
      <c r="P6" s="325" t="s">
        <v>15</v>
      </c>
      <c r="Q6" s="327"/>
      <c r="R6" s="359">
        <v>6</v>
      </c>
      <c r="S6" s="360"/>
      <c r="T6" s="361"/>
      <c r="U6" s="362" t="s">
        <v>0</v>
      </c>
      <c r="V6" s="363"/>
      <c r="W6" s="363"/>
      <c r="X6" s="28"/>
      <c r="Y6" s="30"/>
      <c r="Z6" s="31"/>
      <c r="AB6" s="14"/>
      <c r="AC6" s="297" t="s">
        <v>102</v>
      </c>
      <c r="AD6" s="297"/>
      <c r="AE6" s="297"/>
      <c r="AF6" s="355" t="s">
        <v>105</v>
      </c>
      <c r="AG6" s="355"/>
      <c r="AH6" s="355"/>
      <c r="AI6" s="355" t="s">
        <v>8</v>
      </c>
      <c r="AJ6" s="355"/>
      <c r="AK6" s="355"/>
      <c r="AL6" s="355" t="s">
        <v>10</v>
      </c>
      <c r="AM6" s="355"/>
      <c r="AN6" s="355"/>
      <c r="AO6" s="15"/>
      <c r="AP6" s="1"/>
      <c r="AQ6" s="1"/>
      <c r="AR6" s="1"/>
      <c r="AS6" s="1"/>
      <c r="AT6" s="1"/>
    </row>
    <row r="7" spans="1:46" ht="15" thickBot="1" x14ac:dyDescent="0.35">
      <c r="E7" s="96"/>
      <c r="F7" s="21"/>
      <c r="G7" s="21"/>
      <c r="H7" s="21"/>
      <c r="I7" s="21"/>
      <c r="J7" s="21"/>
      <c r="K7" s="28"/>
      <c r="L7" s="28"/>
      <c r="M7" s="28"/>
      <c r="N7" s="29"/>
      <c r="O7" s="30"/>
      <c r="P7" s="32"/>
      <c r="Q7" s="32"/>
      <c r="R7" s="32"/>
      <c r="S7" s="32"/>
      <c r="T7" s="32"/>
      <c r="U7" s="28"/>
      <c r="V7" s="28"/>
      <c r="W7" s="28"/>
      <c r="X7" s="28"/>
      <c r="Y7" s="30"/>
      <c r="Z7" s="31"/>
      <c r="AB7" s="14"/>
      <c r="AC7" s="297" t="s">
        <v>25</v>
      </c>
      <c r="AD7" s="297"/>
      <c r="AE7" s="297"/>
      <c r="AF7" s="356">
        <f>K9</f>
        <v>0</v>
      </c>
      <c r="AG7" s="356"/>
      <c r="AH7" s="356"/>
      <c r="AI7" s="357">
        <f>K10</f>
        <v>0</v>
      </c>
      <c r="AJ7" s="357"/>
      <c r="AK7" s="357"/>
      <c r="AL7" s="358">
        <f>SUM(AF7:AK7)</f>
        <v>0</v>
      </c>
      <c r="AM7" s="358"/>
      <c r="AN7" s="358"/>
      <c r="AO7" s="15"/>
      <c r="AP7" s="1"/>
      <c r="AQ7" s="1"/>
      <c r="AR7" s="1"/>
      <c r="AS7" s="1"/>
      <c r="AT7" s="1"/>
    </row>
    <row r="8" spans="1:46" ht="15" thickBot="1" x14ac:dyDescent="0.35">
      <c r="E8" s="96"/>
      <c r="F8" s="325" t="s">
        <v>22</v>
      </c>
      <c r="G8" s="326"/>
      <c r="H8" s="326"/>
      <c r="I8" s="326"/>
      <c r="J8" s="327"/>
      <c r="K8" s="344">
        <f>EmployerInitialCont+YourInitialCont</f>
        <v>0</v>
      </c>
      <c r="L8" s="345"/>
      <c r="M8" s="346"/>
      <c r="N8" s="29"/>
      <c r="O8" s="30"/>
      <c r="P8" s="325" t="s">
        <v>16</v>
      </c>
      <c r="Q8" s="326"/>
      <c r="R8" s="326"/>
      <c r="S8" s="326"/>
      <c r="T8" s="327"/>
      <c r="U8" s="328">
        <v>30</v>
      </c>
      <c r="V8" s="329"/>
      <c r="W8" s="330"/>
      <c r="X8" s="28"/>
      <c r="Y8" s="30"/>
      <c r="Z8" s="31"/>
      <c r="AB8" s="14"/>
      <c r="AC8" s="331" t="str">
        <f>" Coming "&amp;(RetirementAge-CurrentAge)&amp;" yrs"</f>
        <v xml:space="preserve"> Coming 35 yrs</v>
      </c>
      <c r="AD8" s="331"/>
      <c r="AE8" s="331"/>
      <c r="AF8" s="347">
        <f>SUM(N17:P76)</f>
        <v>362772.49087430455</v>
      </c>
      <c r="AG8" s="347"/>
      <c r="AH8" s="347"/>
      <c r="AI8" s="364">
        <f>SUM(Q17:S76)</f>
        <v>181386.24543715228</v>
      </c>
      <c r="AJ8" s="364"/>
      <c r="AK8" s="364"/>
      <c r="AL8" s="365">
        <f>SUM(AF8:AK8)</f>
        <v>544158.73631145689</v>
      </c>
      <c r="AM8" s="365"/>
      <c r="AN8" s="365"/>
      <c r="AO8" s="15"/>
      <c r="AP8" s="1"/>
      <c r="AQ8" s="1"/>
      <c r="AR8" s="1"/>
      <c r="AS8" s="1"/>
      <c r="AT8" s="1"/>
    </row>
    <row r="9" spans="1:46" ht="15" thickBot="1" x14ac:dyDescent="0.35">
      <c r="E9" s="96"/>
      <c r="F9" s="325" t="s">
        <v>21</v>
      </c>
      <c r="G9" s="326"/>
      <c r="H9" s="326"/>
      <c r="I9" s="326"/>
      <c r="J9" s="327"/>
      <c r="K9" s="333">
        <v>0</v>
      </c>
      <c r="L9" s="334"/>
      <c r="M9" s="335"/>
      <c r="N9" s="29"/>
      <c r="O9" s="30"/>
      <c r="P9" s="325" t="s">
        <v>17</v>
      </c>
      <c r="Q9" s="326"/>
      <c r="R9" s="326"/>
      <c r="S9" s="326"/>
      <c r="T9" s="327"/>
      <c r="U9" s="337">
        <v>65</v>
      </c>
      <c r="V9" s="338"/>
      <c r="W9" s="339"/>
      <c r="X9" s="28"/>
      <c r="Y9" s="30"/>
      <c r="Z9" s="31"/>
      <c r="AB9" s="14"/>
      <c r="AC9" s="340" t="s">
        <v>130</v>
      </c>
      <c r="AD9" s="340"/>
      <c r="AE9" s="340"/>
      <c r="AF9" s="341">
        <f>AF7+AF8</f>
        <v>362772.49087430455</v>
      </c>
      <c r="AG9" s="341"/>
      <c r="AH9" s="341"/>
      <c r="AI9" s="342">
        <f>AI7+AI8</f>
        <v>181386.24543715228</v>
      </c>
      <c r="AJ9" s="342"/>
      <c r="AK9" s="342"/>
      <c r="AL9" s="343">
        <f>SUM(AF9:AK9)</f>
        <v>544158.73631145689</v>
      </c>
      <c r="AM9" s="343"/>
      <c r="AN9" s="343"/>
      <c r="AO9" s="15"/>
      <c r="AP9" s="1"/>
      <c r="AQ9" s="1"/>
      <c r="AR9" s="1"/>
      <c r="AS9" s="1"/>
      <c r="AT9" s="1"/>
    </row>
    <row r="10" spans="1:46" ht="15" thickBot="1" x14ac:dyDescent="0.35">
      <c r="E10" s="96"/>
      <c r="F10" s="325" t="s">
        <v>20</v>
      </c>
      <c r="G10" s="326"/>
      <c r="H10" s="326"/>
      <c r="I10" s="326"/>
      <c r="J10" s="327"/>
      <c r="K10" s="333">
        <v>0</v>
      </c>
      <c r="L10" s="334"/>
      <c r="M10" s="335"/>
      <c r="N10" s="29"/>
      <c r="O10" s="30"/>
      <c r="P10" s="325" t="s">
        <v>32</v>
      </c>
      <c r="Q10" s="326"/>
      <c r="R10" s="326"/>
      <c r="S10" s="326"/>
      <c r="T10" s="327"/>
      <c r="U10" s="322">
        <v>7</v>
      </c>
      <c r="V10" s="323"/>
      <c r="W10" s="324"/>
      <c r="X10" s="51" t="s">
        <v>1</v>
      </c>
      <c r="Y10" s="30"/>
      <c r="Z10" s="31"/>
      <c r="AB10" s="14"/>
      <c r="AC10" s="297" t="s">
        <v>68</v>
      </c>
      <c r="AD10" s="297"/>
      <c r="AE10" s="297"/>
      <c r="AF10" s="336">
        <f>SUM(T17:V76)</f>
        <v>1224953.0454934419</v>
      </c>
      <c r="AG10" s="336"/>
      <c r="AH10" s="336"/>
      <c r="AI10" s="52"/>
      <c r="AJ10" s="52"/>
      <c r="AK10" s="52"/>
      <c r="AL10" s="52"/>
      <c r="AM10" s="52"/>
      <c r="AN10" s="52"/>
      <c r="AO10" s="15"/>
      <c r="AP10" s="1"/>
      <c r="AQ10" s="1"/>
      <c r="AR10" s="1"/>
    </row>
    <row r="11" spans="1:46" ht="15" thickBot="1" x14ac:dyDescent="0.35">
      <c r="E11" s="96"/>
      <c r="F11" s="319" t="s">
        <v>167</v>
      </c>
      <c r="G11" s="320"/>
      <c r="H11" s="320"/>
      <c r="I11" s="320"/>
      <c r="J11" s="321"/>
      <c r="K11" s="322">
        <v>6</v>
      </c>
      <c r="L11" s="323"/>
      <c r="M11" s="324"/>
      <c r="N11" s="51" t="s">
        <v>1</v>
      </c>
      <c r="O11" s="30"/>
      <c r="P11" s="325" t="s">
        <v>18</v>
      </c>
      <c r="Q11" s="326"/>
      <c r="R11" s="326"/>
      <c r="S11" s="326"/>
      <c r="T11" s="327"/>
      <c r="U11" s="328">
        <v>1</v>
      </c>
      <c r="V11" s="329"/>
      <c r="W11" s="330"/>
      <c r="X11" s="28"/>
      <c r="Y11" s="30"/>
      <c r="Z11" s="31"/>
      <c r="AB11" s="14"/>
      <c r="AC11" s="331" t="s">
        <v>28</v>
      </c>
      <c r="AD11" s="331"/>
      <c r="AE11" s="331"/>
      <c r="AF11" s="332">
        <f>AF10+AL9</f>
        <v>1769111.7818048988</v>
      </c>
      <c r="AG11" s="332"/>
      <c r="AH11" s="332"/>
      <c r="AI11" s="52"/>
      <c r="AJ11" s="52"/>
      <c r="AK11" s="52"/>
      <c r="AL11" s="52"/>
      <c r="AM11" s="52"/>
      <c r="AN11" s="52"/>
      <c r="AO11" s="15"/>
      <c r="AP11" s="1"/>
      <c r="AQ11" s="1"/>
      <c r="AR11" s="1"/>
    </row>
    <row r="12" spans="1:46" ht="15" thickBot="1" x14ac:dyDescent="0.35">
      <c r="E12" s="97"/>
      <c r="F12" s="34"/>
      <c r="G12" s="34"/>
      <c r="H12" s="34"/>
      <c r="I12" s="34"/>
      <c r="J12" s="34"/>
      <c r="K12" s="35"/>
      <c r="L12" s="35"/>
      <c r="M12" s="35"/>
      <c r="N12" s="35"/>
      <c r="O12" s="36"/>
      <c r="P12" s="36"/>
      <c r="Q12" s="36"/>
      <c r="R12" s="36"/>
      <c r="S12" s="36"/>
      <c r="T12" s="36"/>
      <c r="U12" s="36"/>
      <c r="V12" s="36"/>
      <c r="W12" s="35"/>
      <c r="X12" s="35"/>
      <c r="Y12" s="316"/>
      <c r="Z12" s="317"/>
      <c r="AB12" s="17"/>
      <c r="AC12" s="298" t="s">
        <v>104</v>
      </c>
      <c r="AD12" s="299"/>
      <c r="AE12" s="300"/>
      <c r="AF12" s="290">
        <f>SUM(C17:C76)</f>
        <v>90151.938866134456</v>
      </c>
      <c r="AG12" s="291"/>
      <c r="AH12" s="292"/>
      <c r="AI12" s="16"/>
      <c r="AJ12" s="16"/>
      <c r="AK12" s="16"/>
      <c r="AL12" s="16"/>
      <c r="AM12" s="16"/>
      <c r="AN12" s="16"/>
      <c r="AO12" s="19"/>
      <c r="AP12" s="1"/>
      <c r="AQ12" s="1"/>
      <c r="AR12" s="1"/>
    </row>
    <row r="13" spans="1:46" ht="15.6" thickTop="1" thickBot="1" x14ac:dyDescent="0.35">
      <c r="E13" s="98"/>
      <c r="F13" s="174" t="s">
        <v>121</v>
      </c>
      <c r="K13" s="352">
        <v>19500</v>
      </c>
      <c r="L13" s="352"/>
      <c r="M13" s="352"/>
      <c r="N13" s="253">
        <v>0.01</v>
      </c>
      <c r="O13" t="s">
        <v>148</v>
      </c>
      <c r="AG13" s="1"/>
      <c r="AH13" s="1"/>
      <c r="AI13" s="1"/>
      <c r="AJ13" s="1"/>
      <c r="AK13" s="1"/>
      <c r="AL13" s="1"/>
      <c r="AP13" s="1"/>
      <c r="AQ13" s="1"/>
    </row>
    <row r="14" spans="1:46" ht="15" thickTop="1" x14ac:dyDescent="0.3">
      <c r="C14" s="68" t="s">
        <v>62</v>
      </c>
      <c r="E14" s="99"/>
      <c r="F14" s="43"/>
      <c r="G14" s="43"/>
      <c r="H14" s="43"/>
      <c r="I14" s="43"/>
      <c r="J14" s="43"/>
      <c r="K14" s="43"/>
      <c r="L14" s="43"/>
      <c r="M14" s="43"/>
      <c r="N14" s="43"/>
      <c r="O14" s="43"/>
      <c r="P14" s="43"/>
      <c r="Q14" s="43"/>
      <c r="R14" s="43"/>
      <c r="S14" s="43"/>
      <c r="T14" s="43"/>
      <c r="U14" s="43"/>
      <c r="V14" s="43"/>
      <c r="W14" s="43"/>
      <c r="X14" s="43"/>
      <c r="Y14" s="43"/>
      <c r="Z14" s="40"/>
      <c r="AB14" s="6"/>
      <c r="AC14" s="45"/>
      <c r="AD14" s="45"/>
      <c r="AE14" s="45"/>
      <c r="AF14" s="45"/>
      <c r="AG14" s="45"/>
      <c r="AH14" s="45"/>
      <c r="AI14" s="45"/>
      <c r="AJ14" s="45"/>
      <c r="AK14" s="45"/>
      <c r="AL14" s="45"/>
      <c r="AM14" s="45"/>
      <c r="AN14" s="45"/>
      <c r="AO14" s="10"/>
      <c r="AP14" s="1"/>
      <c r="AQ14" s="1"/>
    </row>
    <row r="15" spans="1:46" ht="15.6" x14ac:dyDescent="0.3">
      <c r="A15" s="68" t="s">
        <v>75</v>
      </c>
      <c r="B15" s="68" t="s">
        <v>147</v>
      </c>
      <c r="C15" s="68" t="s">
        <v>37</v>
      </c>
      <c r="D15" s="127"/>
      <c r="E15" s="289" t="s">
        <v>63</v>
      </c>
      <c r="F15" s="318" t="s">
        <v>3</v>
      </c>
      <c r="G15" s="318"/>
      <c r="H15" s="318" t="s">
        <v>127</v>
      </c>
      <c r="I15" s="318"/>
      <c r="J15" s="318"/>
      <c r="K15" s="318" t="s">
        <v>4</v>
      </c>
      <c r="L15" s="318"/>
      <c r="M15" s="318"/>
      <c r="N15" s="318" t="s">
        <v>30</v>
      </c>
      <c r="O15" s="318"/>
      <c r="P15" s="318"/>
      <c r="Q15" s="318" t="s">
        <v>31</v>
      </c>
      <c r="R15" s="318"/>
      <c r="S15" s="318"/>
      <c r="T15" s="318" t="s">
        <v>69</v>
      </c>
      <c r="U15" s="318"/>
      <c r="V15" s="318"/>
      <c r="W15" s="318" t="s">
        <v>126</v>
      </c>
      <c r="X15" s="318"/>
      <c r="Y15" s="318"/>
      <c r="Z15" s="41"/>
      <c r="AA15" s="4"/>
      <c r="AB15" s="46"/>
      <c r="AC15" s="314" t="s">
        <v>12</v>
      </c>
      <c r="AD15" s="314"/>
      <c r="AE15" s="314"/>
      <c r="AF15" s="314"/>
      <c r="AG15" s="314"/>
      <c r="AH15" s="314"/>
      <c r="AI15" s="314"/>
      <c r="AJ15" s="314"/>
      <c r="AK15" s="314"/>
      <c r="AL15" s="314"/>
      <c r="AM15" s="314"/>
      <c r="AN15" s="314"/>
      <c r="AO15" s="20"/>
      <c r="AP15" s="1"/>
      <c r="AQ15" s="1"/>
      <c r="AR15" s="1"/>
      <c r="AS15" s="1"/>
      <c r="AT15" s="1"/>
    </row>
    <row r="16" spans="1:46" x14ac:dyDescent="0.3">
      <c r="A16" s="68" t="s">
        <v>76</v>
      </c>
      <c r="B16" s="68" t="s">
        <v>37</v>
      </c>
      <c r="C16" s="68" t="s">
        <v>61</v>
      </c>
      <c r="E16" s="289"/>
      <c r="F16" s="318"/>
      <c r="G16" s="318"/>
      <c r="H16" s="318"/>
      <c r="I16" s="318"/>
      <c r="J16" s="318"/>
      <c r="K16" s="318"/>
      <c r="L16" s="318"/>
      <c r="M16" s="318"/>
      <c r="N16" s="318"/>
      <c r="O16" s="318"/>
      <c r="P16" s="318"/>
      <c r="Q16" s="318"/>
      <c r="R16" s="318"/>
      <c r="S16" s="318"/>
      <c r="T16" s="318"/>
      <c r="U16" s="318"/>
      <c r="V16" s="318"/>
      <c r="W16" s="318"/>
      <c r="X16" s="318"/>
      <c r="Y16" s="318"/>
      <c r="Z16" s="41"/>
      <c r="AA16" s="1"/>
      <c r="AB16" s="47"/>
      <c r="AC16" s="7"/>
      <c r="AD16" s="7"/>
      <c r="AE16" s="7"/>
      <c r="AF16" s="7"/>
      <c r="AG16" s="7"/>
      <c r="AH16" s="7"/>
      <c r="AI16" s="7"/>
      <c r="AJ16" s="7"/>
      <c r="AK16" s="7"/>
      <c r="AL16" s="7"/>
      <c r="AM16" s="7"/>
      <c r="AN16" s="48"/>
      <c r="AO16" s="20"/>
      <c r="AP16" s="1"/>
      <c r="AQ16" s="1"/>
    </row>
    <row r="17" spans="1:46" x14ac:dyDescent="0.3">
      <c r="A17" s="91">
        <f>VLOOKUP(B17,IRS!$L$4:$M$10,2,FALSE)</f>
        <v>0.24</v>
      </c>
      <c r="B17" s="92">
        <f>VLOOKUP(K17,IRS!$H$4:$L$10,5)</f>
        <v>0.20374451928965093</v>
      </c>
      <c r="C17" s="93">
        <f>B17*N17</f>
        <v>1222.4671157379055</v>
      </c>
      <c r="D17" s="3">
        <v>1</v>
      </c>
      <c r="E17" s="131">
        <f>CurrentAge+1</f>
        <v>31</v>
      </c>
      <c r="F17" s="308">
        <f t="shared" ref="F17:F48" si="0">IF(RetirementAge-CurrentAge&gt;=D17,D17,"")</f>
        <v>1</v>
      </c>
      <c r="G17" s="308"/>
      <c r="H17" s="309">
        <f>IF(F17="","",InitialBalance)</f>
        <v>0</v>
      </c>
      <c r="I17" s="309"/>
      <c r="J17" s="309"/>
      <c r="K17" s="309">
        <f t="shared" ref="K17:K48" si="1">IF(F17="","",InitialIncome*POWER((1+IncomeIncreaseRate/100),F17-1))</f>
        <v>100000</v>
      </c>
      <c r="L17" s="309"/>
      <c r="M17" s="309"/>
      <c r="N17" s="310">
        <f t="shared" ref="N17:N48" si="2">IF(F17="","",MIN(K17*WithheldRate/100,$K$13*(1+$N$13)^(F17-1)))</f>
        <v>6000</v>
      </c>
      <c r="O17" s="310"/>
      <c r="P17" s="310"/>
      <c r="Q17" s="311">
        <f t="shared" ref="Q17:Q48" si="3">IF(F17="","",K17*EmployerMatchRate/100*MIN(WithheldRate,EmployerMatchUpTo)/100)</f>
        <v>3000</v>
      </c>
      <c r="R17" s="311"/>
      <c r="S17" s="311"/>
      <c r="T17" s="312">
        <f t="shared" ref="T17:T48" si="4">IF(F17="","",-FV(InterestRate/100/PaymentsPerYear,PaymentsPerYear,K17+N17,H17)-(K17+N17+H17))</f>
        <v>8.7311491370201111E-11</v>
      </c>
      <c r="U17" s="312"/>
      <c r="V17" s="312"/>
      <c r="W17" s="313">
        <f>IF(F17="","",H17+N17+Q17+T17)</f>
        <v>9000.0000000000873</v>
      </c>
      <c r="X17" s="313"/>
      <c r="Y17" s="313"/>
      <c r="Z17" s="41"/>
      <c r="AA17" s="1"/>
      <c r="AB17" s="47"/>
      <c r="AC17" s="7"/>
      <c r="AD17" s="48"/>
      <c r="AE17" s="48"/>
      <c r="AF17" s="48"/>
      <c r="AG17" s="48"/>
      <c r="AH17" s="48"/>
      <c r="AI17" s="48"/>
      <c r="AJ17" s="48"/>
      <c r="AK17" s="48"/>
      <c r="AL17" s="48"/>
      <c r="AM17" s="48"/>
      <c r="AN17" s="48"/>
      <c r="AO17" s="20"/>
      <c r="AP17" s="1"/>
      <c r="AQ17" s="1"/>
    </row>
    <row r="18" spans="1:46" x14ac:dyDescent="0.3">
      <c r="A18" s="91">
        <f>VLOOKUP(B18,IRS!$L$4:$M$10,2,FALSE)</f>
        <v>0.24</v>
      </c>
      <c r="B18" s="92">
        <f>VLOOKUP(K18,IRS!$H$4:$L$10,5)</f>
        <v>0.20374451928965093</v>
      </c>
      <c r="C18" s="93">
        <f t="shared" ref="C18:C41" si="5">B18*N18</f>
        <v>1259.1411292100427</v>
      </c>
      <c r="D18" s="3">
        <v>2</v>
      </c>
      <c r="E18" s="131">
        <f>E17+1</f>
        <v>32</v>
      </c>
      <c r="F18" s="303">
        <f t="shared" si="0"/>
        <v>2</v>
      </c>
      <c r="G18" s="303"/>
      <c r="H18" s="304">
        <f>IF(F18="","",W17)</f>
        <v>9000.0000000000873</v>
      </c>
      <c r="I18" s="304"/>
      <c r="J18" s="304"/>
      <c r="K18" s="304">
        <f t="shared" si="1"/>
        <v>103000</v>
      </c>
      <c r="L18" s="304"/>
      <c r="M18" s="304"/>
      <c r="N18" s="305">
        <f t="shared" si="2"/>
        <v>6180</v>
      </c>
      <c r="O18" s="305"/>
      <c r="P18" s="305"/>
      <c r="Q18" s="306">
        <f t="shared" si="3"/>
        <v>3090</v>
      </c>
      <c r="R18" s="306"/>
      <c r="S18" s="306"/>
      <c r="T18" s="307">
        <f t="shared" si="4"/>
        <v>630.00000000011642</v>
      </c>
      <c r="U18" s="307"/>
      <c r="V18" s="307"/>
      <c r="W18" s="301">
        <f>IF(F18="","",H18+N18+Q18+T18)</f>
        <v>18900.000000000204</v>
      </c>
      <c r="X18" s="301"/>
      <c r="Y18" s="301"/>
      <c r="Z18" s="41"/>
      <c r="AA18" s="1"/>
      <c r="AB18" s="47"/>
      <c r="AC18" s="7"/>
      <c r="AD18" s="48"/>
      <c r="AE18" s="48"/>
      <c r="AF18" s="48"/>
      <c r="AG18" s="48"/>
      <c r="AH18" s="48"/>
      <c r="AI18" s="48"/>
      <c r="AJ18" s="48"/>
      <c r="AK18" s="48"/>
      <c r="AL18" s="48"/>
      <c r="AM18" s="48"/>
      <c r="AN18" s="48"/>
      <c r="AO18" s="20"/>
      <c r="AP18" s="1"/>
      <c r="AQ18" s="1"/>
    </row>
    <row r="19" spans="1:46" x14ac:dyDescent="0.3">
      <c r="A19" s="91">
        <f>VLOOKUP(B19,IRS!$L$4:$M$10,2,FALSE)</f>
        <v>0.24</v>
      </c>
      <c r="B19" s="92">
        <f>VLOOKUP(K19,IRS!$H$4:$L$10,5)</f>
        <v>0.20374451928965093</v>
      </c>
      <c r="C19" s="93">
        <f t="shared" si="5"/>
        <v>1296.9153630863439</v>
      </c>
      <c r="D19" s="3">
        <v>3</v>
      </c>
      <c r="E19" s="131">
        <f t="shared" ref="E19:E76" si="6">E18+1</f>
        <v>33</v>
      </c>
      <c r="F19" s="308">
        <f t="shared" si="0"/>
        <v>3</v>
      </c>
      <c r="G19" s="308"/>
      <c r="H19" s="309">
        <f t="shared" ref="H19:H76" si="7">IF(F19="","",W18)</f>
        <v>18900.000000000204</v>
      </c>
      <c r="I19" s="309"/>
      <c r="J19" s="309"/>
      <c r="K19" s="309">
        <f t="shared" si="1"/>
        <v>106090</v>
      </c>
      <c r="L19" s="309"/>
      <c r="M19" s="309"/>
      <c r="N19" s="310">
        <f t="shared" si="2"/>
        <v>6365.4</v>
      </c>
      <c r="O19" s="310"/>
      <c r="P19" s="310"/>
      <c r="Q19" s="311">
        <f t="shared" si="3"/>
        <v>3182.7</v>
      </c>
      <c r="R19" s="311"/>
      <c r="S19" s="311"/>
      <c r="T19" s="312">
        <f t="shared" si="4"/>
        <v>1323.0000000001164</v>
      </c>
      <c r="U19" s="312"/>
      <c r="V19" s="312"/>
      <c r="W19" s="313">
        <f t="shared" ref="W19:W76" si="8">IF(F19="","",H19+N19+Q19+T19)</f>
        <v>29771.100000000322</v>
      </c>
      <c r="X19" s="313"/>
      <c r="Y19" s="313"/>
      <c r="Z19" s="41"/>
      <c r="AA19" s="1"/>
      <c r="AB19" s="47"/>
      <c r="AC19" s="7"/>
      <c r="AD19" s="7"/>
      <c r="AE19" s="7"/>
      <c r="AF19" s="7"/>
      <c r="AG19" s="7"/>
      <c r="AH19" s="7"/>
      <c r="AI19" s="7"/>
      <c r="AJ19" s="7"/>
      <c r="AK19" s="7"/>
      <c r="AL19" s="7"/>
      <c r="AM19" s="7"/>
      <c r="AN19" s="7"/>
      <c r="AO19" s="9"/>
      <c r="AP19" s="1"/>
      <c r="AQ19" s="1"/>
    </row>
    <row r="20" spans="1:46" x14ac:dyDescent="0.3">
      <c r="A20" s="91">
        <f>VLOOKUP(B20,IRS!$L$4:$M$10,2,FALSE)</f>
        <v>0.24</v>
      </c>
      <c r="B20" s="92">
        <f>VLOOKUP(K20,IRS!$H$4:$L$10,5)</f>
        <v>0.20374451928965093</v>
      </c>
      <c r="C20" s="93">
        <f t="shared" si="5"/>
        <v>1335.8228239789341</v>
      </c>
      <c r="D20" s="3">
        <v>4</v>
      </c>
      <c r="E20" s="131">
        <f t="shared" si="6"/>
        <v>34</v>
      </c>
      <c r="F20" s="303">
        <f t="shared" si="0"/>
        <v>4</v>
      </c>
      <c r="G20" s="303"/>
      <c r="H20" s="304">
        <f t="shared" si="7"/>
        <v>29771.100000000322</v>
      </c>
      <c r="I20" s="304"/>
      <c r="J20" s="304"/>
      <c r="K20" s="304">
        <f t="shared" si="1"/>
        <v>109272.7</v>
      </c>
      <c r="L20" s="304"/>
      <c r="M20" s="304"/>
      <c r="N20" s="305">
        <f t="shared" si="2"/>
        <v>6556.3619999999992</v>
      </c>
      <c r="O20" s="305"/>
      <c r="P20" s="305"/>
      <c r="Q20" s="306">
        <f t="shared" si="3"/>
        <v>3278.1809999999996</v>
      </c>
      <c r="R20" s="306"/>
      <c r="S20" s="306"/>
      <c r="T20" s="307">
        <f t="shared" si="4"/>
        <v>2083.9770000001299</v>
      </c>
      <c r="U20" s="307"/>
      <c r="V20" s="307"/>
      <c r="W20" s="301">
        <f t="shared" si="8"/>
        <v>41689.620000000446</v>
      </c>
      <c r="X20" s="301"/>
      <c r="Y20" s="301"/>
      <c r="Z20" s="41"/>
      <c r="AA20" s="1"/>
      <c r="AB20" s="47"/>
      <c r="AC20" s="7"/>
      <c r="AD20" s="7"/>
      <c r="AE20" s="7"/>
      <c r="AF20" s="7"/>
      <c r="AG20" s="7"/>
      <c r="AH20" s="7"/>
      <c r="AI20" s="7"/>
      <c r="AJ20" s="7"/>
      <c r="AK20" s="7"/>
      <c r="AL20" s="7"/>
      <c r="AM20" s="7"/>
      <c r="AN20" s="7"/>
      <c r="AO20" s="9"/>
      <c r="AP20" s="1"/>
      <c r="AQ20" s="1"/>
    </row>
    <row r="21" spans="1:46" x14ac:dyDescent="0.3">
      <c r="A21" s="91">
        <f>VLOOKUP(B21,IRS!$L$4:$M$10,2,FALSE)</f>
        <v>0.24</v>
      </c>
      <c r="B21" s="92">
        <f>VLOOKUP(K21,IRS!$H$4:$L$10,5)</f>
        <v>0.20374451928965093</v>
      </c>
      <c r="C21" s="93">
        <f t="shared" si="5"/>
        <v>1375.8975086983023</v>
      </c>
      <c r="D21" s="3">
        <v>5</v>
      </c>
      <c r="E21" s="131">
        <f t="shared" si="6"/>
        <v>35</v>
      </c>
      <c r="F21" s="308">
        <f t="shared" si="0"/>
        <v>5</v>
      </c>
      <c r="G21" s="308"/>
      <c r="H21" s="309">
        <f t="shared" si="7"/>
        <v>41689.620000000446</v>
      </c>
      <c r="I21" s="309"/>
      <c r="J21" s="309"/>
      <c r="K21" s="309">
        <f t="shared" si="1"/>
        <v>112550.88099999999</v>
      </c>
      <c r="L21" s="309"/>
      <c r="M21" s="309"/>
      <c r="N21" s="310">
        <f t="shared" si="2"/>
        <v>6753.0528599999998</v>
      </c>
      <c r="O21" s="310"/>
      <c r="P21" s="310"/>
      <c r="Q21" s="311">
        <f t="shared" si="3"/>
        <v>3376.5264299999999</v>
      </c>
      <c r="R21" s="311"/>
      <c r="S21" s="311"/>
      <c r="T21" s="312">
        <f t="shared" si="4"/>
        <v>2918.2734000001219</v>
      </c>
      <c r="U21" s="312"/>
      <c r="V21" s="312"/>
      <c r="W21" s="313">
        <f t="shared" si="8"/>
        <v>54737.472690000563</v>
      </c>
      <c r="X21" s="313"/>
      <c r="Y21" s="313"/>
      <c r="Z21" s="41"/>
      <c r="AA21" s="1"/>
      <c r="AB21" s="47"/>
      <c r="AC21" s="7"/>
      <c r="AD21" s="7"/>
      <c r="AE21" s="7"/>
      <c r="AF21" s="7"/>
      <c r="AG21" s="7"/>
      <c r="AH21" s="7"/>
      <c r="AI21" s="7"/>
      <c r="AJ21" s="7"/>
      <c r="AK21" s="7"/>
      <c r="AL21" s="7"/>
      <c r="AM21" s="7"/>
      <c r="AN21" s="7"/>
      <c r="AO21" s="9"/>
      <c r="AP21" s="1"/>
      <c r="AQ21" s="1"/>
    </row>
    <row r="22" spans="1:46" x14ac:dyDescent="0.3">
      <c r="A22" s="91">
        <f>VLOOKUP(B22,IRS!$L$4:$M$10,2,FALSE)</f>
        <v>0.24</v>
      </c>
      <c r="B22" s="92">
        <f>VLOOKUP(K22,IRS!$H$4:$L$10,5)</f>
        <v>0.20374451928965093</v>
      </c>
      <c r="C22" s="93">
        <f t="shared" si="5"/>
        <v>1417.1744339592512</v>
      </c>
      <c r="D22" s="3">
        <v>6</v>
      </c>
      <c r="E22" s="131">
        <f t="shared" si="6"/>
        <v>36</v>
      </c>
      <c r="F22" s="303">
        <f t="shared" si="0"/>
        <v>6</v>
      </c>
      <c r="G22" s="303"/>
      <c r="H22" s="304">
        <f t="shared" si="7"/>
        <v>54737.472690000563</v>
      </c>
      <c r="I22" s="304"/>
      <c r="J22" s="304"/>
      <c r="K22" s="304">
        <f t="shared" si="1"/>
        <v>115927.40742999998</v>
      </c>
      <c r="L22" s="304"/>
      <c r="M22" s="304"/>
      <c r="N22" s="305">
        <f t="shared" si="2"/>
        <v>6955.6444457999987</v>
      </c>
      <c r="O22" s="305"/>
      <c r="P22" s="305"/>
      <c r="Q22" s="306">
        <f t="shared" si="3"/>
        <v>3477.8222228999989</v>
      </c>
      <c r="R22" s="306"/>
      <c r="S22" s="306"/>
      <c r="T22" s="307">
        <f t="shared" si="4"/>
        <v>3831.6230883001408</v>
      </c>
      <c r="U22" s="307"/>
      <c r="V22" s="307"/>
      <c r="W22" s="301">
        <f t="shared" si="8"/>
        <v>69002.562447000702</v>
      </c>
      <c r="X22" s="301"/>
      <c r="Y22" s="301"/>
      <c r="Z22" s="41"/>
      <c r="AA22" s="1"/>
      <c r="AB22" s="47"/>
      <c r="AC22" s="7"/>
      <c r="AD22" s="7"/>
      <c r="AE22" s="7"/>
      <c r="AF22" s="7"/>
      <c r="AG22" s="7"/>
      <c r="AH22" s="7"/>
      <c r="AI22" s="7"/>
      <c r="AJ22" s="7"/>
      <c r="AK22" s="7"/>
      <c r="AL22" s="7"/>
      <c r="AM22" s="7"/>
      <c r="AN22" s="7"/>
      <c r="AO22" s="9"/>
      <c r="AP22" s="1"/>
      <c r="AQ22" s="1"/>
    </row>
    <row r="23" spans="1:46" x14ac:dyDescent="0.3">
      <c r="A23" s="91">
        <f>VLOOKUP(B23,IRS!$L$4:$M$10,2,FALSE)</f>
        <v>0.24</v>
      </c>
      <c r="B23" s="92">
        <f>VLOOKUP(K23,IRS!$H$4:$L$10,5)</f>
        <v>0.20374451928965093</v>
      </c>
      <c r="C23" s="93">
        <f t="shared" si="5"/>
        <v>1459.6896669780285</v>
      </c>
      <c r="D23" s="3">
        <v>7</v>
      </c>
      <c r="E23" s="131">
        <f t="shared" si="6"/>
        <v>37</v>
      </c>
      <c r="F23" s="308">
        <f t="shared" si="0"/>
        <v>7</v>
      </c>
      <c r="G23" s="308"/>
      <c r="H23" s="309">
        <f t="shared" si="7"/>
        <v>69002.562447000702</v>
      </c>
      <c r="I23" s="309"/>
      <c r="J23" s="309"/>
      <c r="K23" s="309">
        <f t="shared" si="1"/>
        <v>119405.22965289999</v>
      </c>
      <c r="L23" s="309"/>
      <c r="M23" s="309"/>
      <c r="N23" s="310">
        <f t="shared" si="2"/>
        <v>7164.3137791739982</v>
      </c>
      <c r="O23" s="310"/>
      <c r="P23" s="310"/>
      <c r="Q23" s="311">
        <f t="shared" si="3"/>
        <v>3582.1568895869991</v>
      </c>
      <c r="R23" s="311"/>
      <c r="S23" s="311"/>
      <c r="T23" s="312">
        <f t="shared" si="4"/>
        <v>4830.1793712901708</v>
      </c>
      <c r="U23" s="312"/>
      <c r="V23" s="312"/>
      <c r="W23" s="313">
        <f t="shared" si="8"/>
        <v>84579.212487051875</v>
      </c>
      <c r="X23" s="313"/>
      <c r="Y23" s="313"/>
      <c r="Z23" s="41"/>
      <c r="AA23" s="1"/>
      <c r="AB23" s="47"/>
      <c r="AC23" s="7"/>
      <c r="AD23" s="7"/>
      <c r="AE23" s="7"/>
      <c r="AF23" s="7"/>
      <c r="AG23" s="7"/>
      <c r="AH23" s="7"/>
      <c r="AI23" s="7"/>
      <c r="AJ23" s="7"/>
      <c r="AK23" s="7"/>
      <c r="AL23" s="7"/>
      <c r="AM23" s="7"/>
      <c r="AN23" s="7"/>
      <c r="AO23" s="9"/>
      <c r="AP23" s="1"/>
      <c r="AQ23" s="1"/>
    </row>
    <row r="24" spans="1:46" x14ac:dyDescent="0.3">
      <c r="A24" s="91">
        <f>VLOOKUP(B24,IRS!$L$4:$M$10,2,FALSE)</f>
        <v>0.24</v>
      </c>
      <c r="B24" s="92">
        <f>VLOOKUP(K24,IRS!$H$4:$L$10,5)</f>
        <v>0.20374451928965093</v>
      </c>
      <c r="C24" s="93">
        <f t="shared" si="5"/>
        <v>1503.4803569873698</v>
      </c>
      <c r="D24" s="3">
        <v>8</v>
      </c>
      <c r="E24" s="131">
        <f t="shared" si="6"/>
        <v>38</v>
      </c>
      <c r="F24" s="303">
        <f t="shared" si="0"/>
        <v>8</v>
      </c>
      <c r="G24" s="303"/>
      <c r="H24" s="304">
        <f t="shared" si="7"/>
        <v>84579.212487051875</v>
      </c>
      <c r="I24" s="304"/>
      <c r="J24" s="304"/>
      <c r="K24" s="304">
        <f t="shared" si="1"/>
        <v>122987.386542487</v>
      </c>
      <c r="L24" s="304"/>
      <c r="M24" s="304"/>
      <c r="N24" s="305">
        <f t="shared" si="2"/>
        <v>7379.2431925492201</v>
      </c>
      <c r="O24" s="305"/>
      <c r="P24" s="305"/>
      <c r="Q24" s="306">
        <f t="shared" si="3"/>
        <v>3689.6215962746101</v>
      </c>
      <c r="R24" s="306"/>
      <c r="S24" s="306"/>
      <c r="T24" s="307">
        <f t="shared" si="4"/>
        <v>5920.5448740937572</v>
      </c>
      <c r="U24" s="307"/>
      <c r="V24" s="307"/>
      <c r="W24" s="301">
        <f t="shared" si="8"/>
        <v>101568.62214996945</v>
      </c>
      <c r="X24" s="301"/>
      <c r="Y24" s="301"/>
      <c r="Z24" s="41"/>
      <c r="AA24" s="1"/>
      <c r="AB24" s="47"/>
      <c r="AC24" s="7"/>
      <c r="AD24" s="7"/>
      <c r="AE24" s="7"/>
      <c r="AF24" s="7"/>
      <c r="AG24" s="7"/>
      <c r="AH24" s="7"/>
      <c r="AI24" s="7"/>
      <c r="AJ24" s="7"/>
      <c r="AK24" s="7"/>
      <c r="AL24" s="7"/>
      <c r="AM24" s="7"/>
      <c r="AN24" s="7"/>
      <c r="AO24" s="9"/>
      <c r="AP24" s="1"/>
      <c r="AQ24" s="1"/>
    </row>
    <row r="25" spans="1:46" x14ac:dyDescent="0.3">
      <c r="A25" s="91">
        <f>VLOOKUP(B25,IRS!$L$4:$M$10,2,FALSE)</f>
        <v>0.24</v>
      </c>
      <c r="B25" s="92">
        <f>VLOOKUP(K25,IRS!$H$4:$L$10,5)</f>
        <v>0.20374451928965093</v>
      </c>
      <c r="C25" s="93">
        <f t="shared" si="5"/>
        <v>1548.5847676969906</v>
      </c>
      <c r="D25" s="3">
        <v>9</v>
      </c>
      <c r="E25" s="131">
        <f t="shared" si="6"/>
        <v>39</v>
      </c>
      <c r="F25" s="308">
        <f t="shared" si="0"/>
        <v>9</v>
      </c>
      <c r="G25" s="308"/>
      <c r="H25" s="309">
        <f t="shared" si="7"/>
        <v>101568.62214996945</v>
      </c>
      <c r="I25" s="309"/>
      <c r="J25" s="309"/>
      <c r="K25" s="309">
        <f t="shared" si="1"/>
        <v>126677.00813876159</v>
      </c>
      <c r="L25" s="309"/>
      <c r="M25" s="309"/>
      <c r="N25" s="310">
        <f t="shared" si="2"/>
        <v>7600.6204883256951</v>
      </c>
      <c r="O25" s="310"/>
      <c r="P25" s="310"/>
      <c r="Q25" s="311">
        <f t="shared" si="3"/>
        <v>3800.3102441628475</v>
      </c>
      <c r="R25" s="311"/>
      <c r="S25" s="311"/>
      <c r="T25" s="312">
        <f t="shared" si="4"/>
        <v>7109.803550497978</v>
      </c>
      <c r="U25" s="312"/>
      <c r="V25" s="312"/>
      <c r="W25" s="313">
        <f t="shared" si="8"/>
        <v>120079.35643295597</v>
      </c>
      <c r="X25" s="313"/>
      <c r="Y25" s="313"/>
      <c r="Z25" s="41"/>
      <c r="AA25" s="1"/>
      <c r="AB25" s="47"/>
      <c r="AC25" s="7"/>
      <c r="AD25" s="7"/>
      <c r="AE25" s="7"/>
      <c r="AF25" s="7"/>
      <c r="AG25" s="7"/>
      <c r="AH25" s="7"/>
      <c r="AI25" s="7"/>
      <c r="AJ25" s="7"/>
      <c r="AK25" s="7"/>
      <c r="AL25" s="7"/>
      <c r="AM25" s="7"/>
      <c r="AN25" s="7"/>
      <c r="AO25" s="9"/>
      <c r="AP25" s="1"/>
      <c r="AQ25" s="1"/>
      <c r="AR25" s="1"/>
      <c r="AS25" s="1"/>
      <c r="AT25" s="1"/>
    </row>
    <row r="26" spans="1:46" x14ac:dyDescent="0.3">
      <c r="A26" s="91">
        <f>VLOOKUP(B26,IRS!$L$4:$M$10,2,FALSE)</f>
        <v>0.24</v>
      </c>
      <c r="B26" s="92">
        <f>VLOOKUP(K26,IRS!$H$4:$L$10,5)</f>
        <v>0.20374451928965093</v>
      </c>
      <c r="C26" s="93">
        <f t="shared" si="5"/>
        <v>1595.0423107279007</v>
      </c>
      <c r="D26" s="3">
        <v>10</v>
      </c>
      <c r="E26" s="131">
        <f t="shared" si="6"/>
        <v>40</v>
      </c>
      <c r="F26" s="303">
        <f t="shared" si="0"/>
        <v>10</v>
      </c>
      <c r="G26" s="303"/>
      <c r="H26" s="304">
        <f t="shared" si="7"/>
        <v>120079.35643295597</v>
      </c>
      <c r="I26" s="304"/>
      <c r="J26" s="304"/>
      <c r="K26" s="304">
        <f t="shared" si="1"/>
        <v>130477.31838292445</v>
      </c>
      <c r="L26" s="304"/>
      <c r="M26" s="304"/>
      <c r="N26" s="305">
        <f t="shared" si="2"/>
        <v>7828.6391029754677</v>
      </c>
      <c r="O26" s="305"/>
      <c r="P26" s="305"/>
      <c r="Q26" s="306">
        <f t="shared" si="3"/>
        <v>3914.3195514877339</v>
      </c>
      <c r="R26" s="306"/>
      <c r="S26" s="306"/>
      <c r="T26" s="307">
        <f t="shared" si="4"/>
        <v>8405.5549503070361</v>
      </c>
      <c r="U26" s="307"/>
      <c r="V26" s="307"/>
      <c r="W26" s="301">
        <f t="shared" si="8"/>
        <v>140227.87003772621</v>
      </c>
      <c r="X26" s="301"/>
      <c r="Y26" s="301"/>
      <c r="Z26" s="41"/>
      <c r="AA26" s="1"/>
      <c r="AB26" s="47"/>
      <c r="AC26" s="7"/>
      <c r="AD26" s="7"/>
      <c r="AE26" s="7"/>
      <c r="AF26" s="7"/>
      <c r="AG26" s="7"/>
      <c r="AH26" s="7"/>
      <c r="AI26" s="7"/>
      <c r="AJ26" s="7"/>
      <c r="AK26" s="7"/>
      <c r="AL26" s="7"/>
      <c r="AM26" s="7"/>
      <c r="AN26" s="7"/>
      <c r="AO26" s="9"/>
      <c r="AP26" s="1"/>
      <c r="AQ26" s="1"/>
      <c r="AR26" s="1"/>
      <c r="AS26" s="1"/>
      <c r="AT26" s="1"/>
    </row>
    <row r="27" spans="1:46" x14ac:dyDescent="0.3">
      <c r="A27" s="91">
        <f>VLOOKUP(B27,IRS!$L$4:$M$10,2,FALSE)</f>
        <v>0.24</v>
      </c>
      <c r="B27" s="92">
        <f>VLOOKUP(K27,IRS!$H$4:$L$10,5)</f>
        <v>0.20374451928965093</v>
      </c>
      <c r="C27" s="93">
        <f t="shared" si="5"/>
        <v>1642.8935800497375</v>
      </c>
      <c r="D27" s="3">
        <v>11</v>
      </c>
      <c r="E27" s="131">
        <f t="shared" si="6"/>
        <v>41</v>
      </c>
      <c r="F27" s="308">
        <f t="shared" si="0"/>
        <v>11</v>
      </c>
      <c r="G27" s="308"/>
      <c r="H27" s="309">
        <f t="shared" si="7"/>
        <v>140227.87003772621</v>
      </c>
      <c r="I27" s="309"/>
      <c r="J27" s="309"/>
      <c r="K27" s="309">
        <f t="shared" si="1"/>
        <v>134391.63793441217</v>
      </c>
      <c r="L27" s="309"/>
      <c r="M27" s="309"/>
      <c r="N27" s="310">
        <f t="shared" si="2"/>
        <v>8063.4982760647299</v>
      </c>
      <c r="O27" s="310"/>
      <c r="P27" s="310"/>
      <c r="Q27" s="311">
        <f t="shared" si="3"/>
        <v>4031.749138032365</v>
      </c>
      <c r="R27" s="311"/>
      <c r="S27" s="311"/>
      <c r="T27" s="312">
        <f t="shared" si="4"/>
        <v>9815.950902640936</v>
      </c>
      <c r="U27" s="312"/>
      <c r="V27" s="312"/>
      <c r="W27" s="313">
        <f t="shared" si="8"/>
        <v>162139.06835446425</v>
      </c>
      <c r="X27" s="313"/>
      <c r="Y27" s="313"/>
      <c r="Z27" s="41"/>
      <c r="AA27" s="1"/>
      <c r="AB27" s="47"/>
      <c r="AC27" s="7"/>
      <c r="AD27" s="7"/>
      <c r="AE27" s="7"/>
      <c r="AF27" s="7"/>
      <c r="AG27" s="7"/>
      <c r="AH27" s="7"/>
      <c r="AI27" s="7"/>
      <c r="AJ27" s="7"/>
      <c r="AK27" s="7"/>
      <c r="AL27" s="7"/>
      <c r="AM27" s="7"/>
      <c r="AN27" s="7"/>
      <c r="AO27" s="9"/>
      <c r="AP27" s="1"/>
      <c r="AQ27" s="1"/>
      <c r="AR27" s="1"/>
      <c r="AS27" s="1"/>
      <c r="AT27" s="1"/>
    </row>
    <row r="28" spans="1:46" x14ac:dyDescent="0.3">
      <c r="A28" s="91">
        <f>VLOOKUP(B28,IRS!$L$4:$M$10,2,FALSE)</f>
        <v>0.24</v>
      </c>
      <c r="B28" s="92">
        <f>VLOOKUP(K28,IRS!$H$4:$L$10,5)</f>
        <v>0.20374451928965093</v>
      </c>
      <c r="C28" s="93">
        <f t="shared" si="5"/>
        <v>1692.1803874512295</v>
      </c>
      <c r="D28" s="3">
        <v>12</v>
      </c>
      <c r="E28" s="131">
        <f t="shared" si="6"/>
        <v>42</v>
      </c>
      <c r="F28" s="303">
        <f t="shared" si="0"/>
        <v>12</v>
      </c>
      <c r="G28" s="303"/>
      <c r="H28" s="304">
        <f t="shared" si="7"/>
        <v>162139.06835446425</v>
      </c>
      <c r="I28" s="304"/>
      <c r="J28" s="304"/>
      <c r="K28" s="304">
        <f t="shared" si="1"/>
        <v>138423.38707244454</v>
      </c>
      <c r="L28" s="304"/>
      <c r="M28" s="304"/>
      <c r="N28" s="305">
        <f t="shared" si="2"/>
        <v>8305.4032243466718</v>
      </c>
      <c r="O28" s="305"/>
      <c r="P28" s="305"/>
      <c r="Q28" s="306">
        <f t="shared" si="3"/>
        <v>4152.7016121733359</v>
      </c>
      <c r="R28" s="306"/>
      <c r="S28" s="306"/>
      <c r="T28" s="307">
        <f t="shared" si="4"/>
        <v>11349.734784812608</v>
      </c>
      <c r="U28" s="307"/>
      <c r="V28" s="307"/>
      <c r="W28" s="301">
        <f t="shared" si="8"/>
        <v>185946.90797579687</v>
      </c>
      <c r="X28" s="301"/>
      <c r="Y28" s="301"/>
      <c r="Z28" s="41"/>
      <c r="AA28" s="1"/>
      <c r="AB28" s="47"/>
      <c r="AC28" s="7"/>
      <c r="AD28" s="7"/>
      <c r="AE28" s="7"/>
      <c r="AF28" s="7"/>
      <c r="AG28" s="7"/>
      <c r="AH28" s="7"/>
      <c r="AI28" s="7"/>
      <c r="AJ28" s="7"/>
      <c r="AK28" s="7"/>
      <c r="AL28" s="7"/>
      <c r="AM28" s="7"/>
      <c r="AN28" s="7"/>
      <c r="AO28" s="9"/>
      <c r="AP28" s="1"/>
      <c r="AQ28" s="1"/>
      <c r="AR28" s="1"/>
      <c r="AS28" s="1"/>
      <c r="AT28" s="1"/>
    </row>
    <row r="29" spans="1:46" x14ac:dyDescent="0.3">
      <c r="A29" s="91">
        <f>VLOOKUP(B29,IRS!$L$4:$M$10,2,FALSE)</f>
        <v>0.24</v>
      </c>
      <c r="B29" s="92">
        <f>VLOOKUP(K29,IRS!$H$4:$L$10,5)</f>
        <v>0.20374451928965093</v>
      </c>
      <c r="C29" s="93">
        <f t="shared" si="5"/>
        <v>1742.945799074766</v>
      </c>
      <c r="D29" s="3">
        <v>13</v>
      </c>
      <c r="E29" s="131">
        <f t="shared" si="6"/>
        <v>43</v>
      </c>
      <c r="F29" s="308">
        <f t="shared" si="0"/>
        <v>13</v>
      </c>
      <c r="G29" s="308"/>
      <c r="H29" s="309">
        <f t="shared" si="7"/>
        <v>185946.90797579687</v>
      </c>
      <c r="I29" s="309"/>
      <c r="J29" s="309"/>
      <c r="K29" s="309">
        <f t="shared" si="1"/>
        <v>142576.08868461786</v>
      </c>
      <c r="L29" s="309"/>
      <c r="M29" s="309"/>
      <c r="N29" s="310">
        <f t="shared" si="2"/>
        <v>8554.5653210770706</v>
      </c>
      <c r="O29" s="310"/>
      <c r="P29" s="310"/>
      <c r="Q29" s="311">
        <f t="shared" si="3"/>
        <v>4277.2826605385353</v>
      </c>
      <c r="R29" s="311"/>
      <c r="S29" s="311"/>
      <c r="T29" s="312">
        <f t="shared" si="4"/>
        <v>13016.283558305935</v>
      </c>
      <c r="U29" s="312"/>
      <c r="V29" s="312"/>
      <c r="W29" s="313">
        <f t="shared" si="8"/>
        <v>211795.03951571841</v>
      </c>
      <c r="X29" s="313"/>
      <c r="Y29" s="313"/>
      <c r="Z29" s="41"/>
      <c r="AA29" s="1"/>
      <c r="AB29" s="47"/>
      <c r="AC29" s="7"/>
      <c r="AD29" s="7"/>
      <c r="AE29" s="7"/>
      <c r="AF29" s="7"/>
      <c r="AG29" s="7"/>
      <c r="AH29" s="7"/>
      <c r="AI29" s="7"/>
      <c r="AJ29" s="7"/>
      <c r="AK29" s="7"/>
      <c r="AL29" s="7"/>
      <c r="AM29" s="7"/>
      <c r="AN29" s="7"/>
      <c r="AO29" s="9"/>
      <c r="AP29" s="1"/>
      <c r="AQ29" s="1"/>
      <c r="AR29" s="1"/>
      <c r="AS29" s="1"/>
      <c r="AT29" s="1"/>
    </row>
    <row r="30" spans="1:46" x14ac:dyDescent="0.3">
      <c r="A30" s="91">
        <f>VLOOKUP(B30,IRS!$L$4:$M$10,2,FALSE)</f>
        <v>0.24</v>
      </c>
      <c r="B30" s="92">
        <f>VLOOKUP(K30,IRS!$H$4:$L$10,5)</f>
        <v>0.20374451928965093</v>
      </c>
      <c r="C30" s="93">
        <f t="shared" si="5"/>
        <v>1795.2341730470093</v>
      </c>
      <c r="D30" s="3">
        <v>14</v>
      </c>
      <c r="E30" s="131">
        <f t="shared" si="6"/>
        <v>44</v>
      </c>
      <c r="F30" s="303">
        <f t="shared" si="0"/>
        <v>14</v>
      </c>
      <c r="G30" s="303"/>
      <c r="H30" s="304">
        <f t="shared" si="7"/>
        <v>211795.03951571841</v>
      </c>
      <c r="I30" s="304"/>
      <c r="J30" s="304"/>
      <c r="K30" s="304">
        <f t="shared" si="1"/>
        <v>146853.3713451564</v>
      </c>
      <c r="L30" s="304"/>
      <c r="M30" s="304"/>
      <c r="N30" s="305">
        <f t="shared" si="2"/>
        <v>8811.2022807093836</v>
      </c>
      <c r="O30" s="305"/>
      <c r="P30" s="305"/>
      <c r="Q30" s="306">
        <f t="shared" si="3"/>
        <v>4405.6011403546918</v>
      </c>
      <c r="R30" s="306"/>
      <c r="S30" s="306"/>
      <c r="T30" s="307">
        <f t="shared" si="4"/>
        <v>14825.652766100422</v>
      </c>
      <c r="U30" s="307"/>
      <c r="V30" s="307"/>
      <c r="W30" s="301">
        <f t="shared" si="8"/>
        <v>239837.49570288291</v>
      </c>
      <c r="X30" s="301"/>
      <c r="Y30" s="301"/>
      <c r="Z30" s="41"/>
      <c r="AA30" s="1"/>
      <c r="AB30" s="47"/>
      <c r="AC30" s="315"/>
      <c r="AD30" s="315"/>
      <c r="AE30" s="315"/>
      <c r="AF30" s="315"/>
      <c r="AG30" s="315"/>
      <c r="AH30" s="315"/>
      <c r="AI30" s="315"/>
      <c r="AJ30" s="315"/>
      <c r="AK30" s="315"/>
      <c r="AL30" s="315"/>
      <c r="AM30" s="315"/>
      <c r="AN30" s="315"/>
      <c r="AO30" s="9"/>
      <c r="AP30" s="1"/>
      <c r="AQ30" s="1"/>
      <c r="AR30" s="1"/>
    </row>
    <row r="31" spans="1:46" x14ac:dyDescent="0.3">
      <c r="A31" s="91">
        <f>VLOOKUP(B31,IRS!$L$4:$M$10,2,FALSE)</f>
        <v>0.24</v>
      </c>
      <c r="B31" s="92">
        <f>VLOOKUP(K31,IRS!$H$4:$L$10,5)</f>
        <v>0.20374451928965093</v>
      </c>
      <c r="C31" s="93">
        <f t="shared" si="5"/>
        <v>1849.0911982384196</v>
      </c>
      <c r="D31" s="3">
        <v>15</v>
      </c>
      <c r="E31" s="131">
        <f t="shared" si="6"/>
        <v>45</v>
      </c>
      <c r="F31" s="308">
        <f t="shared" si="0"/>
        <v>15</v>
      </c>
      <c r="G31" s="308"/>
      <c r="H31" s="309">
        <f t="shared" si="7"/>
        <v>239837.49570288291</v>
      </c>
      <c r="I31" s="309"/>
      <c r="J31" s="309"/>
      <c r="K31" s="309">
        <f t="shared" si="1"/>
        <v>151258.9724855111</v>
      </c>
      <c r="L31" s="309"/>
      <c r="M31" s="309"/>
      <c r="N31" s="310">
        <f t="shared" si="2"/>
        <v>9075.5383491306657</v>
      </c>
      <c r="O31" s="310"/>
      <c r="P31" s="310"/>
      <c r="Q31" s="311">
        <f t="shared" si="3"/>
        <v>4537.7691745653328</v>
      </c>
      <c r="R31" s="311"/>
      <c r="S31" s="311"/>
      <c r="T31" s="312">
        <f t="shared" si="4"/>
        <v>16788.624699202017</v>
      </c>
      <c r="U31" s="312"/>
      <c r="V31" s="312"/>
      <c r="W31" s="313">
        <f t="shared" si="8"/>
        <v>270239.42792578088</v>
      </c>
      <c r="X31" s="313"/>
      <c r="Y31" s="313"/>
      <c r="Z31" s="41"/>
      <c r="AA31" s="1"/>
      <c r="AB31" s="47"/>
      <c r="AC31" s="7"/>
      <c r="AD31" s="7"/>
      <c r="AE31" s="7"/>
      <c r="AF31" s="7"/>
      <c r="AG31" s="7"/>
      <c r="AH31" s="7"/>
      <c r="AI31" s="7"/>
      <c r="AJ31" s="7"/>
      <c r="AK31" s="7"/>
      <c r="AL31" s="7"/>
      <c r="AM31" s="7"/>
      <c r="AN31" s="7"/>
      <c r="AO31" s="9"/>
      <c r="AP31" s="1"/>
      <c r="AQ31" s="1"/>
      <c r="AR31" s="1"/>
    </row>
    <row r="32" spans="1:46" ht="15.6" x14ac:dyDescent="0.3">
      <c r="A32" s="91">
        <f>VLOOKUP(B32,IRS!$L$4:$M$10,2,FALSE)</f>
        <v>0.24</v>
      </c>
      <c r="B32" s="92">
        <f>VLOOKUP(K32,IRS!$H$4:$L$10,5)</f>
        <v>0.20374451928965093</v>
      </c>
      <c r="C32" s="93">
        <f t="shared" si="5"/>
        <v>1904.5639341855729</v>
      </c>
      <c r="D32" s="3">
        <v>16</v>
      </c>
      <c r="E32" s="131">
        <f t="shared" si="6"/>
        <v>46</v>
      </c>
      <c r="F32" s="303">
        <f t="shared" si="0"/>
        <v>16</v>
      </c>
      <c r="G32" s="303"/>
      <c r="H32" s="304">
        <f t="shared" si="7"/>
        <v>270239.42792578088</v>
      </c>
      <c r="I32" s="304"/>
      <c r="J32" s="304"/>
      <c r="K32" s="304">
        <f t="shared" si="1"/>
        <v>155796.74166007646</v>
      </c>
      <c r="L32" s="304"/>
      <c r="M32" s="304"/>
      <c r="N32" s="305">
        <f t="shared" si="2"/>
        <v>9347.8044996045883</v>
      </c>
      <c r="O32" s="305"/>
      <c r="P32" s="305"/>
      <c r="Q32" s="306">
        <f t="shared" si="3"/>
        <v>4673.9022498022941</v>
      </c>
      <c r="R32" s="306"/>
      <c r="S32" s="306"/>
      <c r="T32" s="307">
        <f t="shared" si="4"/>
        <v>18916.759954804787</v>
      </c>
      <c r="U32" s="307"/>
      <c r="V32" s="307"/>
      <c r="W32" s="301">
        <f t="shared" si="8"/>
        <v>303177.89462999254</v>
      </c>
      <c r="X32" s="301"/>
      <c r="Y32" s="301"/>
      <c r="Z32" s="41"/>
      <c r="AA32" s="1"/>
      <c r="AB32" s="47"/>
      <c r="AC32" s="314" t="s">
        <v>128</v>
      </c>
      <c r="AD32" s="314"/>
      <c r="AE32" s="314"/>
      <c r="AF32" s="314"/>
      <c r="AG32" s="314"/>
      <c r="AH32" s="314"/>
      <c r="AI32" s="314"/>
      <c r="AJ32" s="314"/>
      <c r="AK32" s="314"/>
      <c r="AL32" s="314"/>
      <c r="AM32" s="314"/>
      <c r="AN32" s="314"/>
      <c r="AO32" s="9"/>
      <c r="AP32" s="1"/>
      <c r="AQ32" s="1"/>
      <c r="AR32" s="1"/>
    </row>
    <row r="33" spans="1:44" x14ac:dyDescent="0.3">
      <c r="A33" s="91">
        <f>VLOOKUP(B33,IRS!$L$4:$M$10,2,FALSE)</f>
        <v>0.24</v>
      </c>
      <c r="B33" s="92">
        <f>VLOOKUP(K33,IRS!$H$4:$L$10,5)</f>
        <v>0.20374451928965093</v>
      </c>
      <c r="C33" s="93">
        <f t="shared" si="5"/>
        <v>1961.7008522111394</v>
      </c>
      <c r="D33" s="3">
        <v>17</v>
      </c>
      <c r="E33" s="131">
        <f t="shared" si="6"/>
        <v>47</v>
      </c>
      <c r="F33" s="308">
        <f t="shared" si="0"/>
        <v>17</v>
      </c>
      <c r="G33" s="308"/>
      <c r="H33" s="309">
        <f t="shared" si="7"/>
        <v>303177.89462999254</v>
      </c>
      <c r="I33" s="309"/>
      <c r="J33" s="309"/>
      <c r="K33" s="309">
        <f t="shared" si="1"/>
        <v>160470.64390987871</v>
      </c>
      <c r="L33" s="309"/>
      <c r="M33" s="309"/>
      <c r="N33" s="310">
        <f t="shared" si="2"/>
        <v>9628.2386345927225</v>
      </c>
      <c r="O33" s="310"/>
      <c r="P33" s="310"/>
      <c r="Q33" s="311">
        <f t="shared" si="3"/>
        <v>4814.1193172963613</v>
      </c>
      <c r="R33" s="311"/>
      <c r="S33" s="311"/>
      <c r="T33" s="312">
        <f t="shared" si="4"/>
        <v>21222.452624099678</v>
      </c>
      <c r="U33" s="312"/>
      <c r="V33" s="312"/>
      <c r="W33" s="313">
        <f t="shared" si="8"/>
        <v>338842.70520598133</v>
      </c>
      <c r="X33" s="313"/>
      <c r="Y33" s="313"/>
      <c r="Z33" s="41"/>
      <c r="AA33" s="1"/>
      <c r="AB33" s="47"/>
      <c r="AC33" s="7"/>
      <c r="AD33" s="7"/>
      <c r="AE33" s="7"/>
      <c r="AF33" s="7"/>
      <c r="AG33" s="7"/>
      <c r="AH33" s="7"/>
      <c r="AI33" s="7"/>
      <c r="AJ33" s="7"/>
      <c r="AK33" s="7"/>
      <c r="AL33" s="7"/>
      <c r="AM33" s="7"/>
      <c r="AN33" s="7"/>
      <c r="AO33" s="9"/>
      <c r="AP33" s="1"/>
      <c r="AQ33" s="1"/>
      <c r="AR33" s="1"/>
    </row>
    <row r="34" spans="1:44" x14ac:dyDescent="0.3">
      <c r="A34" s="91">
        <f>VLOOKUP(B34,IRS!$L$4:$M$10,2,FALSE)</f>
        <v>0.32</v>
      </c>
      <c r="B34" s="92">
        <f>VLOOKUP(K34,IRS!$H$4:$L$10,5)</f>
        <v>0.22844215095249576</v>
      </c>
      <c r="C34" s="93">
        <f t="shared" si="5"/>
        <v>2265.4804098773907</v>
      </c>
      <c r="D34" s="3">
        <v>18</v>
      </c>
      <c r="E34" s="131">
        <f t="shared" si="6"/>
        <v>48</v>
      </c>
      <c r="F34" s="303">
        <f t="shared" si="0"/>
        <v>18</v>
      </c>
      <c r="G34" s="303"/>
      <c r="H34" s="304">
        <f t="shared" si="7"/>
        <v>338842.70520598133</v>
      </c>
      <c r="I34" s="304"/>
      <c r="J34" s="304"/>
      <c r="K34" s="304">
        <f t="shared" si="1"/>
        <v>165284.76322717508</v>
      </c>
      <c r="L34" s="304"/>
      <c r="M34" s="304"/>
      <c r="N34" s="305">
        <f t="shared" si="2"/>
        <v>9917.0857936305038</v>
      </c>
      <c r="O34" s="305"/>
      <c r="P34" s="305"/>
      <c r="Q34" s="306">
        <f t="shared" si="3"/>
        <v>4958.5428968152519</v>
      </c>
      <c r="R34" s="306"/>
      <c r="S34" s="306"/>
      <c r="T34" s="307">
        <f t="shared" si="4"/>
        <v>23718.989364418783</v>
      </c>
      <c r="U34" s="307"/>
      <c r="V34" s="307"/>
      <c r="W34" s="301">
        <f t="shared" si="8"/>
        <v>377437.32326084585</v>
      </c>
      <c r="X34" s="301"/>
      <c r="Y34" s="301"/>
      <c r="Z34" s="41"/>
      <c r="AA34" s="1"/>
      <c r="AB34" s="47"/>
      <c r="AC34" s="7"/>
      <c r="AD34" s="7"/>
      <c r="AE34" s="7"/>
      <c r="AF34" s="7"/>
      <c r="AG34" s="7"/>
      <c r="AH34" s="7"/>
      <c r="AI34" s="7"/>
      <c r="AJ34" s="7"/>
      <c r="AK34" s="7"/>
      <c r="AL34" s="7"/>
      <c r="AM34" s="7"/>
      <c r="AN34" s="7"/>
      <c r="AO34" s="9"/>
      <c r="AP34" s="1"/>
      <c r="AQ34" s="1"/>
      <c r="AR34" s="1"/>
    </row>
    <row r="35" spans="1:44" x14ac:dyDescent="0.3">
      <c r="A35" s="91">
        <f>VLOOKUP(B35,IRS!$L$4:$M$10,2,FALSE)</f>
        <v>0.32</v>
      </c>
      <c r="B35" s="92">
        <f>VLOOKUP(K35,IRS!$H$4:$L$10,5)</f>
        <v>0.22844215095249576</v>
      </c>
      <c r="C35" s="93">
        <f t="shared" si="5"/>
        <v>2333.4448221737125</v>
      </c>
      <c r="D35" s="3">
        <v>19</v>
      </c>
      <c r="E35" s="131">
        <f t="shared" si="6"/>
        <v>49</v>
      </c>
      <c r="F35" s="308">
        <f t="shared" si="0"/>
        <v>19</v>
      </c>
      <c r="G35" s="308"/>
      <c r="H35" s="309">
        <f t="shared" si="7"/>
        <v>377437.32326084585</v>
      </c>
      <c r="I35" s="309"/>
      <c r="J35" s="309"/>
      <c r="K35" s="309">
        <f t="shared" si="1"/>
        <v>170243.30612399033</v>
      </c>
      <c r="L35" s="309"/>
      <c r="M35" s="309"/>
      <c r="N35" s="310">
        <f t="shared" si="2"/>
        <v>10214.598367439419</v>
      </c>
      <c r="O35" s="310"/>
      <c r="P35" s="310"/>
      <c r="Q35" s="311">
        <f t="shared" si="3"/>
        <v>5107.2991837197096</v>
      </c>
      <c r="R35" s="311"/>
      <c r="S35" s="311"/>
      <c r="T35" s="312">
        <f t="shared" si="4"/>
        <v>26420.612628259463</v>
      </c>
      <c r="U35" s="312"/>
      <c r="V35" s="312"/>
      <c r="W35" s="313">
        <f t="shared" si="8"/>
        <v>419179.83344026445</v>
      </c>
      <c r="X35" s="313"/>
      <c r="Y35" s="313"/>
      <c r="Z35" s="41"/>
      <c r="AA35" s="1"/>
      <c r="AB35" s="47"/>
      <c r="AC35" s="7"/>
      <c r="AD35" s="7"/>
      <c r="AE35" s="7"/>
      <c r="AF35" s="7"/>
      <c r="AG35" s="7"/>
      <c r="AH35" s="7"/>
      <c r="AI35" s="7"/>
      <c r="AJ35" s="7"/>
      <c r="AK35" s="7"/>
      <c r="AL35" s="7"/>
      <c r="AM35" s="7"/>
      <c r="AN35" s="7"/>
      <c r="AO35" s="9"/>
      <c r="AP35" s="1"/>
      <c r="AQ35" s="1"/>
      <c r="AR35" s="1"/>
    </row>
    <row r="36" spans="1:44" x14ac:dyDescent="0.3">
      <c r="A36" s="91">
        <f>VLOOKUP(B36,IRS!$L$4:$M$10,2,FALSE)</f>
        <v>0.32</v>
      </c>
      <c r="B36" s="92">
        <f>VLOOKUP(K36,IRS!$H$4:$L$10,5)</f>
        <v>0.22844215095249576</v>
      </c>
      <c r="C36" s="93">
        <f t="shared" si="5"/>
        <v>2403.448166838924</v>
      </c>
      <c r="D36" s="3">
        <v>20</v>
      </c>
      <c r="E36" s="131">
        <f t="shared" si="6"/>
        <v>50</v>
      </c>
      <c r="F36" s="303">
        <f t="shared" si="0"/>
        <v>20</v>
      </c>
      <c r="G36" s="303"/>
      <c r="H36" s="304">
        <f t="shared" si="7"/>
        <v>419179.83344026445</v>
      </c>
      <c r="I36" s="304"/>
      <c r="J36" s="304"/>
      <c r="K36" s="304">
        <f t="shared" si="1"/>
        <v>175350.60530771004</v>
      </c>
      <c r="L36" s="304"/>
      <c r="M36" s="304"/>
      <c r="N36" s="305">
        <f t="shared" si="2"/>
        <v>10521.036318462602</v>
      </c>
      <c r="O36" s="305"/>
      <c r="P36" s="305"/>
      <c r="Q36" s="306">
        <f t="shared" si="3"/>
        <v>5260.5181592313002</v>
      </c>
      <c r="R36" s="306"/>
      <c r="S36" s="306"/>
      <c r="T36" s="307">
        <f t="shared" si="4"/>
        <v>29342.588340818649</v>
      </c>
      <c r="U36" s="307"/>
      <c r="V36" s="307"/>
      <c r="W36" s="301">
        <f t="shared" si="8"/>
        <v>464303.97625877697</v>
      </c>
      <c r="X36" s="301"/>
      <c r="Y36" s="301"/>
      <c r="Z36" s="41"/>
      <c r="AA36" s="1"/>
      <c r="AB36" s="47"/>
      <c r="AC36" s="7"/>
      <c r="AD36" s="7"/>
      <c r="AE36" s="7"/>
      <c r="AF36" s="7"/>
      <c r="AG36" s="7"/>
      <c r="AH36" s="7"/>
      <c r="AI36" s="7"/>
      <c r="AJ36" s="7"/>
      <c r="AK36" s="7"/>
      <c r="AL36" s="7"/>
      <c r="AM36" s="7"/>
      <c r="AN36" s="7"/>
      <c r="AO36" s="9"/>
      <c r="AP36" s="1"/>
      <c r="AQ36" s="1"/>
      <c r="AR36" s="1"/>
    </row>
    <row r="37" spans="1:44" x14ac:dyDescent="0.3">
      <c r="A37" s="91">
        <f>VLOOKUP(B37,IRS!$L$4:$M$10,2,FALSE)</f>
        <v>0.32</v>
      </c>
      <c r="B37" s="92">
        <f>VLOOKUP(K37,IRS!$H$4:$L$10,5)</f>
        <v>0.22844215095249576</v>
      </c>
      <c r="C37" s="93">
        <f t="shared" si="5"/>
        <v>2475.5516118440914</v>
      </c>
      <c r="D37" s="3">
        <v>21</v>
      </c>
      <c r="E37" s="131">
        <f t="shared" si="6"/>
        <v>51</v>
      </c>
      <c r="F37" s="308">
        <f t="shared" si="0"/>
        <v>21</v>
      </c>
      <c r="G37" s="308"/>
      <c r="H37" s="309">
        <f t="shared" si="7"/>
        <v>464303.97625877697</v>
      </c>
      <c r="I37" s="309"/>
      <c r="J37" s="309"/>
      <c r="K37" s="309">
        <f t="shared" si="1"/>
        <v>180611.12346694132</v>
      </c>
      <c r="L37" s="309"/>
      <c r="M37" s="309"/>
      <c r="N37" s="310">
        <f t="shared" si="2"/>
        <v>10836.667408016479</v>
      </c>
      <c r="O37" s="310"/>
      <c r="P37" s="310"/>
      <c r="Q37" s="311">
        <f t="shared" si="3"/>
        <v>5418.3337040082415</v>
      </c>
      <c r="R37" s="311"/>
      <c r="S37" s="311"/>
      <c r="T37" s="312">
        <f t="shared" si="4"/>
        <v>32501.278338114615</v>
      </c>
      <c r="U37" s="312"/>
      <c r="V37" s="312"/>
      <c r="W37" s="313">
        <f t="shared" si="8"/>
        <v>513060.25570891629</v>
      </c>
      <c r="X37" s="313"/>
      <c r="Y37" s="313"/>
      <c r="Z37" s="41"/>
      <c r="AA37" s="1"/>
      <c r="AB37" s="47"/>
      <c r="AC37" s="7"/>
      <c r="AD37" s="7"/>
      <c r="AE37" s="7"/>
      <c r="AF37" s="7"/>
      <c r="AG37" s="7"/>
      <c r="AH37" s="7"/>
      <c r="AI37" s="7"/>
      <c r="AJ37" s="7"/>
      <c r="AK37" s="7"/>
      <c r="AL37" s="7"/>
      <c r="AM37" s="7"/>
      <c r="AN37" s="7"/>
      <c r="AO37" s="9"/>
      <c r="AP37" s="1"/>
      <c r="AQ37" s="1"/>
      <c r="AR37" s="1"/>
    </row>
    <row r="38" spans="1:44" x14ac:dyDescent="0.3">
      <c r="A38" s="91">
        <f>VLOOKUP(B38,IRS!$L$4:$M$10,2,FALSE)</f>
        <v>0.32</v>
      </c>
      <c r="B38" s="92">
        <f>VLOOKUP(K38,IRS!$H$4:$L$10,5)</f>
        <v>0.22844215095249576</v>
      </c>
      <c r="C38" s="93">
        <f t="shared" si="5"/>
        <v>2549.8181601994138</v>
      </c>
      <c r="D38" s="3">
        <v>22</v>
      </c>
      <c r="E38" s="131">
        <f t="shared" si="6"/>
        <v>52</v>
      </c>
      <c r="F38" s="303">
        <f t="shared" si="0"/>
        <v>22</v>
      </c>
      <c r="G38" s="303"/>
      <c r="H38" s="304">
        <f t="shared" si="7"/>
        <v>513060.25570891629</v>
      </c>
      <c r="I38" s="304"/>
      <c r="J38" s="304"/>
      <c r="K38" s="304">
        <f t="shared" si="1"/>
        <v>186029.45717094955</v>
      </c>
      <c r="L38" s="304"/>
      <c r="M38" s="304"/>
      <c r="N38" s="305">
        <f t="shared" si="2"/>
        <v>11161.767430256972</v>
      </c>
      <c r="O38" s="305"/>
      <c r="P38" s="305"/>
      <c r="Q38" s="306">
        <f t="shared" si="3"/>
        <v>5580.8837151284861</v>
      </c>
      <c r="R38" s="306"/>
      <c r="S38" s="306"/>
      <c r="T38" s="307">
        <f t="shared" si="4"/>
        <v>35914.217899624375</v>
      </c>
      <c r="U38" s="307"/>
      <c r="V38" s="307"/>
      <c r="W38" s="301">
        <f t="shared" si="8"/>
        <v>565717.12475392618</v>
      </c>
      <c r="X38" s="301"/>
      <c r="Y38" s="301"/>
      <c r="Z38" s="41"/>
      <c r="AA38" s="1"/>
      <c r="AB38" s="47"/>
      <c r="AC38" s="7"/>
      <c r="AD38" s="7"/>
      <c r="AE38" s="7"/>
      <c r="AF38" s="7"/>
      <c r="AG38" s="7"/>
      <c r="AH38" s="7"/>
      <c r="AI38" s="7"/>
      <c r="AJ38" s="7"/>
      <c r="AK38" s="7"/>
      <c r="AL38" s="7"/>
      <c r="AM38" s="7"/>
      <c r="AN38" s="7"/>
      <c r="AO38" s="9"/>
      <c r="AP38" s="1"/>
      <c r="AQ38" s="1"/>
      <c r="AR38" s="1"/>
    </row>
    <row r="39" spans="1:44" x14ac:dyDescent="0.3">
      <c r="A39" s="91">
        <f>VLOOKUP(B39,IRS!$L$4:$M$10,2,FALSE)</f>
        <v>0.32</v>
      </c>
      <c r="B39" s="92">
        <f>VLOOKUP(K39,IRS!$H$4:$L$10,5)</f>
        <v>0.22844215095249576</v>
      </c>
      <c r="C39" s="93">
        <f t="shared" si="5"/>
        <v>2626.3127050053963</v>
      </c>
      <c r="D39" s="3">
        <v>23</v>
      </c>
      <c r="E39" s="131">
        <f t="shared" si="6"/>
        <v>53</v>
      </c>
      <c r="F39" s="308">
        <f t="shared" si="0"/>
        <v>23</v>
      </c>
      <c r="G39" s="308"/>
      <c r="H39" s="309">
        <f t="shared" si="7"/>
        <v>565717.12475392618</v>
      </c>
      <c r="I39" s="309"/>
      <c r="J39" s="309"/>
      <c r="K39" s="309">
        <f t="shared" si="1"/>
        <v>191610.34088607805</v>
      </c>
      <c r="L39" s="309"/>
      <c r="M39" s="309"/>
      <c r="N39" s="310">
        <f t="shared" si="2"/>
        <v>11496.620453164682</v>
      </c>
      <c r="O39" s="310"/>
      <c r="P39" s="310"/>
      <c r="Q39" s="311">
        <f t="shared" si="3"/>
        <v>5748.31022658234</v>
      </c>
      <c r="R39" s="311"/>
      <c r="S39" s="311"/>
      <c r="T39" s="312">
        <f t="shared" si="4"/>
        <v>39600.198732774938</v>
      </c>
      <c r="U39" s="312"/>
      <c r="V39" s="312"/>
      <c r="W39" s="313">
        <f t="shared" si="8"/>
        <v>622562.25416644814</v>
      </c>
      <c r="X39" s="313"/>
      <c r="Y39" s="313"/>
      <c r="Z39" s="41"/>
      <c r="AA39" s="1"/>
      <c r="AB39" s="47"/>
      <c r="AC39" s="7"/>
      <c r="AD39" s="7"/>
      <c r="AE39" s="7"/>
      <c r="AF39" s="7"/>
      <c r="AG39" s="7"/>
      <c r="AH39" s="7"/>
      <c r="AI39" s="7"/>
      <c r="AJ39" s="7"/>
      <c r="AK39" s="7"/>
      <c r="AL39" s="7"/>
      <c r="AM39" s="7"/>
      <c r="AN39" s="7"/>
      <c r="AO39" s="9"/>
      <c r="AP39" s="1"/>
      <c r="AQ39" s="1"/>
      <c r="AR39" s="1"/>
    </row>
    <row r="40" spans="1:44" x14ac:dyDescent="0.3">
      <c r="A40" s="91">
        <f>VLOOKUP(B40,IRS!$L$4:$M$10,2,FALSE)</f>
        <v>0.32</v>
      </c>
      <c r="B40" s="92">
        <f>VLOOKUP(K40,IRS!$H$4:$L$10,5)</f>
        <v>0.22844215095249576</v>
      </c>
      <c r="C40" s="93">
        <f t="shared" si="5"/>
        <v>2705.1020861555585</v>
      </c>
      <c r="D40" s="3">
        <v>24</v>
      </c>
      <c r="E40" s="131">
        <f t="shared" si="6"/>
        <v>54</v>
      </c>
      <c r="F40" s="303">
        <f t="shared" si="0"/>
        <v>24</v>
      </c>
      <c r="G40" s="303"/>
      <c r="H40" s="304">
        <f t="shared" si="7"/>
        <v>622562.25416644814</v>
      </c>
      <c r="I40" s="304"/>
      <c r="J40" s="304"/>
      <c r="K40" s="304">
        <f t="shared" si="1"/>
        <v>197358.65111266039</v>
      </c>
      <c r="L40" s="304"/>
      <c r="M40" s="304"/>
      <c r="N40" s="305">
        <f t="shared" si="2"/>
        <v>11841.519066759623</v>
      </c>
      <c r="O40" s="305"/>
      <c r="P40" s="305"/>
      <c r="Q40" s="306">
        <f t="shared" si="3"/>
        <v>5920.7595333798117</v>
      </c>
      <c r="R40" s="306"/>
      <c r="S40" s="306"/>
      <c r="T40" s="307">
        <f t="shared" si="4"/>
        <v>43579.357791651506</v>
      </c>
      <c r="U40" s="307"/>
      <c r="V40" s="307"/>
      <c r="W40" s="301">
        <f t="shared" si="8"/>
        <v>683903.89055823907</v>
      </c>
      <c r="X40" s="301"/>
      <c r="Y40" s="301"/>
      <c r="Z40" s="41"/>
      <c r="AA40" s="1"/>
      <c r="AB40" s="47"/>
      <c r="AC40" s="7"/>
      <c r="AD40" s="7"/>
      <c r="AE40" s="7"/>
      <c r="AF40" s="7"/>
      <c r="AG40" s="7"/>
      <c r="AH40" s="7"/>
      <c r="AI40" s="7"/>
      <c r="AJ40" s="7"/>
      <c r="AK40" s="7"/>
      <c r="AL40" s="7"/>
      <c r="AM40" s="7"/>
      <c r="AN40" s="7"/>
      <c r="AO40" s="9"/>
      <c r="AP40" s="1"/>
      <c r="AQ40" s="1"/>
      <c r="AR40" s="1"/>
    </row>
    <row r="41" spans="1:44" x14ac:dyDescent="0.3">
      <c r="A41" s="91">
        <f>VLOOKUP(B41,IRS!$L$4:$M$10,2,FALSE)</f>
        <v>0.32</v>
      </c>
      <c r="B41" s="92">
        <f>VLOOKUP(K41,IRS!$H$4:$L$10,5)</f>
        <v>0.22844215095249576</v>
      </c>
      <c r="C41" s="93">
        <f t="shared" si="5"/>
        <v>2786.2551487402243</v>
      </c>
      <c r="D41" s="3">
        <v>25</v>
      </c>
      <c r="E41" s="131">
        <f t="shared" si="6"/>
        <v>55</v>
      </c>
      <c r="F41" s="308">
        <f t="shared" si="0"/>
        <v>25</v>
      </c>
      <c r="G41" s="308"/>
      <c r="H41" s="309">
        <f t="shared" si="7"/>
        <v>683903.89055823907</v>
      </c>
      <c r="I41" s="309"/>
      <c r="J41" s="309"/>
      <c r="K41" s="309">
        <f t="shared" si="1"/>
        <v>203279.41064604017</v>
      </c>
      <c r="L41" s="309"/>
      <c r="M41" s="309"/>
      <c r="N41" s="310">
        <f t="shared" si="2"/>
        <v>12196.764638762408</v>
      </c>
      <c r="O41" s="310"/>
      <c r="P41" s="310"/>
      <c r="Q41" s="311">
        <f t="shared" si="3"/>
        <v>6098.3823193812041</v>
      </c>
      <c r="R41" s="311"/>
      <c r="S41" s="311"/>
      <c r="T41" s="312">
        <f t="shared" si="4"/>
        <v>47873.272339076968</v>
      </c>
      <c r="U41" s="312"/>
      <c r="V41" s="312"/>
      <c r="W41" s="313">
        <f t="shared" si="8"/>
        <v>750072.30985545972</v>
      </c>
      <c r="X41" s="313"/>
      <c r="Y41" s="313"/>
      <c r="Z41" s="41"/>
      <c r="AA41" s="1"/>
      <c r="AB41" s="47"/>
      <c r="AC41" s="7"/>
      <c r="AD41" s="7"/>
      <c r="AE41" s="7"/>
      <c r="AF41" s="7"/>
      <c r="AG41" s="7"/>
      <c r="AH41" s="7"/>
      <c r="AI41" s="7"/>
      <c r="AJ41" s="7"/>
      <c r="AK41" s="7"/>
      <c r="AL41" s="7"/>
      <c r="AM41" s="7"/>
      <c r="AN41" s="7"/>
      <c r="AO41" s="9"/>
      <c r="AP41" s="1"/>
      <c r="AQ41" s="1"/>
      <c r="AR41" s="1"/>
    </row>
    <row r="42" spans="1:44" x14ac:dyDescent="0.3">
      <c r="A42" s="91">
        <f>VLOOKUP(B42,IRS!$L$4:$M$10,2,FALSE)</f>
        <v>0.35</v>
      </c>
      <c r="B42" s="92">
        <f>VLOOKUP(K42,IRS!$H$4:$L$10,5)</f>
        <v>0.30137920524691353</v>
      </c>
      <c r="C42" s="93">
        <f>IF(B42="","",B42*N42)</f>
        <v>3786.1267704162897</v>
      </c>
      <c r="D42" s="3">
        <v>26</v>
      </c>
      <c r="E42" s="131">
        <f t="shared" si="6"/>
        <v>56</v>
      </c>
      <c r="F42" s="303">
        <f t="shared" si="0"/>
        <v>26</v>
      </c>
      <c r="G42" s="303"/>
      <c r="H42" s="304">
        <f t="shared" si="7"/>
        <v>750072.30985545972</v>
      </c>
      <c r="I42" s="304"/>
      <c r="J42" s="304"/>
      <c r="K42" s="304">
        <f t="shared" si="1"/>
        <v>209377.79296542139</v>
      </c>
      <c r="L42" s="304"/>
      <c r="M42" s="304"/>
      <c r="N42" s="305">
        <f t="shared" si="2"/>
        <v>12562.667577925282</v>
      </c>
      <c r="O42" s="305"/>
      <c r="P42" s="305"/>
      <c r="Q42" s="306">
        <f t="shared" si="3"/>
        <v>6281.3337889626409</v>
      </c>
      <c r="R42" s="306"/>
      <c r="S42" s="306"/>
      <c r="T42" s="307">
        <f t="shared" si="4"/>
        <v>52505.061689882423</v>
      </c>
      <c r="U42" s="307"/>
      <c r="V42" s="307"/>
      <c r="W42" s="301">
        <f t="shared" si="8"/>
        <v>821421.37291223009</v>
      </c>
      <c r="X42" s="301"/>
      <c r="Y42" s="301"/>
      <c r="Z42" s="41"/>
      <c r="AA42" s="1"/>
      <c r="AB42" s="47"/>
      <c r="AC42" s="7"/>
      <c r="AD42" s="7"/>
      <c r="AE42" s="7"/>
      <c r="AF42" s="7"/>
      <c r="AG42" s="7"/>
      <c r="AH42" s="7"/>
      <c r="AI42" s="7"/>
      <c r="AJ42" s="7"/>
      <c r="AK42" s="7"/>
      <c r="AL42" s="7"/>
      <c r="AM42" s="7"/>
      <c r="AN42" s="7"/>
      <c r="AO42" s="9"/>
      <c r="AP42" s="1"/>
      <c r="AQ42" s="1"/>
      <c r="AR42" s="1"/>
    </row>
    <row r="43" spans="1:44" x14ac:dyDescent="0.3">
      <c r="A43" s="91">
        <f>VLOOKUP(B43,IRS!$L$4:$M$10,2,FALSE)</f>
        <v>0.35</v>
      </c>
      <c r="B43" s="92">
        <f>VLOOKUP(K43,IRS!$H$4:$L$10,5)</f>
        <v>0.30137920524691353</v>
      </c>
      <c r="C43" s="93">
        <f t="shared" ref="C43:C51" si="9">IF(B43="","",B43*N43)</f>
        <v>3899.7105735287792</v>
      </c>
      <c r="D43" s="3">
        <v>27</v>
      </c>
      <c r="E43" s="131">
        <f t="shared" si="6"/>
        <v>57</v>
      </c>
      <c r="F43" s="308">
        <f t="shared" si="0"/>
        <v>27</v>
      </c>
      <c r="G43" s="308"/>
      <c r="H43" s="309">
        <f t="shared" si="7"/>
        <v>821421.37291223009</v>
      </c>
      <c r="I43" s="309"/>
      <c r="J43" s="309"/>
      <c r="K43" s="309">
        <f t="shared" si="1"/>
        <v>215659.12675438405</v>
      </c>
      <c r="L43" s="309"/>
      <c r="M43" s="309"/>
      <c r="N43" s="310">
        <f t="shared" si="2"/>
        <v>12939.547605263044</v>
      </c>
      <c r="O43" s="310"/>
      <c r="P43" s="310"/>
      <c r="Q43" s="311">
        <f t="shared" si="3"/>
        <v>6469.7738026315219</v>
      </c>
      <c r="R43" s="311"/>
      <c r="S43" s="311"/>
      <c r="T43" s="312">
        <f t="shared" si="4"/>
        <v>57499.49610385648</v>
      </c>
      <c r="U43" s="312"/>
      <c r="V43" s="312"/>
      <c r="W43" s="313">
        <f t="shared" si="8"/>
        <v>898330.19042398117</v>
      </c>
      <c r="X43" s="313"/>
      <c r="Y43" s="313"/>
      <c r="Z43" s="41"/>
      <c r="AA43" s="1"/>
      <c r="AB43" s="47"/>
      <c r="AC43" s="7"/>
      <c r="AD43" s="7"/>
      <c r="AE43" s="7"/>
      <c r="AF43" s="7"/>
      <c r="AG43" s="7"/>
      <c r="AH43" s="7"/>
      <c r="AI43" s="7"/>
      <c r="AJ43" s="7"/>
      <c r="AK43" s="7"/>
      <c r="AL43" s="7"/>
      <c r="AM43" s="7"/>
      <c r="AN43" s="7"/>
      <c r="AO43" s="9"/>
      <c r="AP43" s="1"/>
      <c r="AQ43" s="1"/>
      <c r="AR43" s="1"/>
    </row>
    <row r="44" spans="1:44" x14ac:dyDescent="0.3">
      <c r="A44" s="91">
        <f>VLOOKUP(B44,IRS!$L$4:$M$10,2,FALSE)</f>
        <v>0.35</v>
      </c>
      <c r="B44" s="92">
        <f>VLOOKUP(K44,IRS!$H$4:$L$10,5)</f>
        <v>0.30137920524691353</v>
      </c>
      <c r="C44" s="93">
        <f t="shared" si="9"/>
        <v>4016.7018907346419</v>
      </c>
      <c r="D44" s="3">
        <v>28</v>
      </c>
      <c r="E44" s="131">
        <f t="shared" si="6"/>
        <v>58</v>
      </c>
      <c r="F44" s="303">
        <f t="shared" si="0"/>
        <v>28</v>
      </c>
      <c r="G44" s="303"/>
      <c r="H44" s="304">
        <f t="shared" si="7"/>
        <v>898330.19042398117</v>
      </c>
      <c r="I44" s="304"/>
      <c r="J44" s="304"/>
      <c r="K44" s="304">
        <f t="shared" si="1"/>
        <v>222128.90055701556</v>
      </c>
      <c r="L44" s="304"/>
      <c r="M44" s="304"/>
      <c r="N44" s="305">
        <f t="shared" si="2"/>
        <v>13327.734033420933</v>
      </c>
      <c r="O44" s="305"/>
      <c r="P44" s="305"/>
      <c r="Q44" s="306">
        <f t="shared" si="3"/>
        <v>6663.8670167104656</v>
      </c>
      <c r="R44" s="306"/>
      <c r="S44" s="306"/>
      <c r="T44" s="307">
        <f t="shared" si="4"/>
        <v>62883.113329679007</v>
      </c>
      <c r="U44" s="307"/>
      <c r="V44" s="307"/>
      <c r="W44" s="301">
        <f t="shared" si="8"/>
        <v>981204.90480379155</v>
      </c>
      <c r="X44" s="301"/>
      <c r="Y44" s="301"/>
      <c r="Z44" s="41"/>
      <c r="AA44" s="1"/>
      <c r="AB44" s="47"/>
      <c r="AC44" s="7"/>
      <c r="AD44" s="7"/>
      <c r="AE44" s="7"/>
      <c r="AF44" s="7"/>
      <c r="AG44" s="7"/>
      <c r="AH44" s="7"/>
      <c r="AI44" s="7"/>
      <c r="AJ44" s="7"/>
      <c r="AK44" s="7"/>
      <c r="AL44" s="7"/>
      <c r="AM44" s="7"/>
      <c r="AN44" s="7"/>
      <c r="AO44" s="9"/>
      <c r="AP44" s="1"/>
      <c r="AQ44" s="1"/>
      <c r="AR44" s="1"/>
    </row>
    <row r="45" spans="1:44" x14ac:dyDescent="0.3">
      <c r="A45" s="91">
        <f>VLOOKUP(B45,IRS!$L$4:$M$10,2,FALSE)</f>
        <v>0.35</v>
      </c>
      <c r="B45" s="92">
        <f>VLOOKUP(K45,IRS!$H$4:$L$10,5)</f>
        <v>0.30137920524691353</v>
      </c>
      <c r="C45" s="93">
        <f t="shared" si="9"/>
        <v>4137.2029474566816</v>
      </c>
      <c r="D45" s="3">
        <v>29</v>
      </c>
      <c r="E45" s="131">
        <f t="shared" si="6"/>
        <v>59</v>
      </c>
      <c r="F45" s="308">
        <f t="shared" si="0"/>
        <v>29</v>
      </c>
      <c r="G45" s="308"/>
      <c r="H45" s="309">
        <f t="shared" si="7"/>
        <v>981204.90480379155</v>
      </c>
      <c r="I45" s="309"/>
      <c r="J45" s="309"/>
      <c r="K45" s="309">
        <f t="shared" si="1"/>
        <v>228792.76757372601</v>
      </c>
      <c r="L45" s="309"/>
      <c r="M45" s="309"/>
      <c r="N45" s="310">
        <f t="shared" si="2"/>
        <v>13727.566054423562</v>
      </c>
      <c r="O45" s="310"/>
      <c r="P45" s="310"/>
      <c r="Q45" s="311">
        <f t="shared" si="3"/>
        <v>6863.7830272117808</v>
      </c>
      <c r="R45" s="311"/>
      <c r="S45" s="311"/>
      <c r="T45" s="312">
        <f t="shared" si="4"/>
        <v>68684.343336265534</v>
      </c>
      <c r="U45" s="312"/>
      <c r="V45" s="312"/>
      <c r="W45" s="313">
        <f t="shared" si="8"/>
        <v>1070480.5972216926</v>
      </c>
      <c r="X45" s="313"/>
      <c r="Y45" s="313"/>
      <c r="Z45" s="41"/>
      <c r="AA45" s="1"/>
      <c r="AB45" s="47"/>
      <c r="AC45" s="7"/>
      <c r="AD45" s="7"/>
      <c r="AE45" s="7"/>
      <c r="AF45" s="7"/>
      <c r="AG45" s="7"/>
      <c r="AH45" s="7"/>
      <c r="AI45" s="7"/>
      <c r="AJ45" s="7"/>
      <c r="AK45" s="7"/>
      <c r="AL45" s="7"/>
      <c r="AM45" s="7"/>
      <c r="AN45" s="7"/>
      <c r="AO45" s="9"/>
      <c r="AP45" s="1"/>
      <c r="AQ45" s="1"/>
      <c r="AR45" s="1"/>
    </row>
    <row r="46" spans="1:44" x14ac:dyDescent="0.3">
      <c r="A46" s="91">
        <f>VLOOKUP(B46,IRS!$L$4:$M$10,2,FALSE)</f>
        <v>0.35</v>
      </c>
      <c r="B46" s="92">
        <f>VLOOKUP(K46,IRS!$H$4:$L$10,5)</f>
        <v>0.30137920524691353</v>
      </c>
      <c r="C46" s="93">
        <f t="shared" si="9"/>
        <v>4261.3190358803813</v>
      </c>
      <c r="D46" s="3">
        <v>30</v>
      </c>
      <c r="E46" s="131">
        <f t="shared" si="6"/>
        <v>60</v>
      </c>
      <c r="F46" s="303">
        <f t="shared" si="0"/>
        <v>30</v>
      </c>
      <c r="G46" s="303"/>
      <c r="H46" s="304">
        <f t="shared" si="7"/>
        <v>1070480.5972216926</v>
      </c>
      <c r="I46" s="304"/>
      <c r="J46" s="304"/>
      <c r="K46" s="304">
        <f t="shared" si="1"/>
        <v>235656.55060093777</v>
      </c>
      <c r="L46" s="304"/>
      <c r="M46" s="304"/>
      <c r="N46" s="305">
        <f t="shared" si="2"/>
        <v>14139.393036056266</v>
      </c>
      <c r="O46" s="305"/>
      <c r="P46" s="305"/>
      <c r="Q46" s="306">
        <f t="shared" si="3"/>
        <v>7069.6965180281313</v>
      </c>
      <c r="R46" s="306"/>
      <c r="S46" s="306"/>
      <c r="T46" s="307">
        <f t="shared" si="4"/>
        <v>74933.641805518884</v>
      </c>
      <c r="U46" s="307"/>
      <c r="V46" s="307"/>
      <c r="W46" s="301">
        <f t="shared" si="8"/>
        <v>1166623.3285812959</v>
      </c>
      <c r="X46" s="301"/>
      <c r="Y46" s="301"/>
      <c r="Z46" s="41"/>
      <c r="AA46" s="1"/>
      <c r="AB46" s="47"/>
      <c r="AC46" s="7"/>
      <c r="AD46" s="7"/>
      <c r="AE46" s="7"/>
      <c r="AF46" s="7"/>
      <c r="AG46" s="7"/>
      <c r="AH46" s="7"/>
      <c r="AI46" s="7"/>
      <c r="AJ46" s="7"/>
      <c r="AK46" s="7"/>
      <c r="AL46" s="7"/>
      <c r="AM46" s="7"/>
      <c r="AN46" s="7"/>
      <c r="AO46" s="9"/>
      <c r="AP46" s="1"/>
      <c r="AQ46" s="1"/>
      <c r="AR46" s="1"/>
    </row>
    <row r="47" spans="1:44" x14ac:dyDescent="0.3">
      <c r="A47" s="91">
        <f>VLOOKUP(B47,IRS!$L$4:$M$10,2,FALSE)</f>
        <v>0.35</v>
      </c>
      <c r="B47" s="92">
        <f>VLOOKUP(K47,IRS!$H$4:$L$10,5)</f>
        <v>0.30137920524691353</v>
      </c>
      <c r="C47" s="93">
        <f t="shared" si="9"/>
        <v>4389.158606956792</v>
      </c>
      <c r="D47" s="3">
        <v>31</v>
      </c>
      <c r="E47" s="131">
        <f t="shared" si="6"/>
        <v>61</v>
      </c>
      <c r="F47" s="308">
        <f t="shared" si="0"/>
        <v>31</v>
      </c>
      <c r="G47" s="308"/>
      <c r="H47" s="309">
        <f t="shared" si="7"/>
        <v>1166623.3285812959</v>
      </c>
      <c r="I47" s="309"/>
      <c r="J47" s="309"/>
      <c r="K47" s="309">
        <f t="shared" si="1"/>
        <v>242726.2471189659</v>
      </c>
      <c r="L47" s="309"/>
      <c r="M47" s="309"/>
      <c r="N47" s="310">
        <f t="shared" si="2"/>
        <v>14563.574827137953</v>
      </c>
      <c r="O47" s="310"/>
      <c r="P47" s="310"/>
      <c r="Q47" s="311">
        <f t="shared" si="3"/>
        <v>7281.7874135689763</v>
      </c>
      <c r="R47" s="311"/>
      <c r="S47" s="311"/>
      <c r="T47" s="312">
        <f t="shared" si="4"/>
        <v>81663.633000690956</v>
      </c>
      <c r="U47" s="312"/>
      <c r="V47" s="312"/>
      <c r="W47" s="313">
        <f t="shared" si="8"/>
        <v>1270132.3238226937</v>
      </c>
      <c r="X47" s="313"/>
      <c r="Y47" s="313"/>
      <c r="Z47" s="41"/>
      <c r="AA47" s="1"/>
      <c r="AB47" s="47"/>
      <c r="AC47" s="7"/>
      <c r="AD47" s="7"/>
      <c r="AE47" s="7"/>
      <c r="AF47" s="7"/>
      <c r="AG47" s="7"/>
      <c r="AH47" s="7"/>
      <c r="AI47" s="7"/>
      <c r="AJ47" s="7"/>
      <c r="AK47" s="7"/>
      <c r="AL47" s="7"/>
      <c r="AM47" s="7"/>
      <c r="AN47" s="7"/>
      <c r="AO47" s="9"/>
      <c r="AP47" s="1"/>
      <c r="AQ47" s="1"/>
      <c r="AR47" s="1"/>
    </row>
    <row r="48" spans="1:44" ht="15.6" x14ac:dyDescent="0.3">
      <c r="A48" s="91">
        <f>VLOOKUP(B48,IRS!$L$4:$M$10,2,FALSE)</f>
        <v>0.35</v>
      </c>
      <c r="B48" s="92">
        <f>VLOOKUP(K48,IRS!$H$4:$L$10,5)</f>
        <v>0.30137920524691353</v>
      </c>
      <c r="C48" s="93">
        <f t="shared" si="9"/>
        <v>4520.8333651654975</v>
      </c>
      <c r="D48" s="3">
        <v>32</v>
      </c>
      <c r="E48" s="131">
        <f t="shared" si="6"/>
        <v>62</v>
      </c>
      <c r="F48" s="303">
        <f t="shared" si="0"/>
        <v>32</v>
      </c>
      <c r="G48" s="303"/>
      <c r="H48" s="304">
        <f t="shared" si="7"/>
        <v>1270132.3238226937</v>
      </c>
      <c r="I48" s="304"/>
      <c r="J48" s="304"/>
      <c r="K48" s="304">
        <f t="shared" si="1"/>
        <v>250008.03453253492</v>
      </c>
      <c r="L48" s="304"/>
      <c r="M48" s="304"/>
      <c r="N48" s="305">
        <f t="shared" si="2"/>
        <v>15000.482071952096</v>
      </c>
      <c r="O48" s="305"/>
      <c r="P48" s="305"/>
      <c r="Q48" s="306">
        <f t="shared" si="3"/>
        <v>7500.2410359760479</v>
      </c>
      <c r="R48" s="306"/>
      <c r="S48" s="306"/>
      <c r="T48" s="307">
        <f t="shared" si="4"/>
        <v>88909.26266758889</v>
      </c>
      <c r="U48" s="307"/>
      <c r="V48" s="307"/>
      <c r="W48" s="301">
        <f t="shared" si="8"/>
        <v>1381542.3095982107</v>
      </c>
      <c r="X48" s="301"/>
      <c r="Y48" s="301"/>
      <c r="Z48" s="41"/>
      <c r="AA48" s="1"/>
      <c r="AB48" s="47"/>
      <c r="AC48" s="314" t="s">
        <v>29</v>
      </c>
      <c r="AD48" s="314"/>
      <c r="AE48" s="314"/>
      <c r="AF48" s="314"/>
      <c r="AG48" s="314"/>
      <c r="AH48" s="314"/>
      <c r="AI48" s="314"/>
      <c r="AJ48" s="314"/>
      <c r="AK48" s="314"/>
      <c r="AL48" s="314"/>
      <c r="AM48" s="314"/>
      <c r="AN48" s="314"/>
      <c r="AO48" s="9"/>
      <c r="AP48" s="1"/>
      <c r="AQ48" s="1"/>
      <c r="AR48" s="1"/>
    </row>
    <row r="49" spans="1:44" x14ac:dyDescent="0.3">
      <c r="A49" s="91">
        <f>VLOOKUP(B49,IRS!$L$4:$M$10,2,FALSE)</f>
        <v>0.35</v>
      </c>
      <c r="B49" s="92">
        <f>VLOOKUP(K49,IRS!$H$4:$L$10,5)</f>
        <v>0.30137920524691353</v>
      </c>
      <c r="C49" s="93">
        <f t="shared" si="9"/>
        <v>4656.4583661204615</v>
      </c>
      <c r="D49" s="3">
        <v>33</v>
      </c>
      <c r="E49" s="131">
        <f t="shared" si="6"/>
        <v>63</v>
      </c>
      <c r="F49" s="308">
        <f t="shared" ref="F49:F76" si="10">IF(RetirementAge-CurrentAge&gt;=D49,D49,"")</f>
        <v>33</v>
      </c>
      <c r="G49" s="308"/>
      <c r="H49" s="309">
        <f t="shared" si="7"/>
        <v>1381542.3095982107</v>
      </c>
      <c r="I49" s="309"/>
      <c r="J49" s="309"/>
      <c r="K49" s="309">
        <f t="shared" ref="K49:K76" si="11">IF(F49="","",InitialIncome*POWER((1+IncomeIncreaseRate/100),F49-1))</f>
        <v>257508.27556851093</v>
      </c>
      <c r="L49" s="309"/>
      <c r="M49" s="309"/>
      <c r="N49" s="310">
        <f t="shared" ref="N49:N77" si="12">IF(F49="","",MIN(K49*WithheldRate/100,$K$13*(1+$N$13)^(F49-1)))</f>
        <v>15450.496534110656</v>
      </c>
      <c r="O49" s="310"/>
      <c r="P49" s="310"/>
      <c r="Q49" s="311">
        <f t="shared" ref="Q49:Q76" si="13">IF(F49="","",K49*EmployerMatchRate/100*MIN(WithheldRate,EmployerMatchUpTo)/100)</f>
        <v>7725.2482670553281</v>
      </c>
      <c r="R49" s="311"/>
      <c r="S49" s="311"/>
      <c r="T49" s="312">
        <f t="shared" ref="T49:T76" si="14">IF(F49="","",-FV(InterestRate/100/PaymentsPerYear,PaymentsPerYear,K49+N49,H49)-(K49+N49+H49))</f>
        <v>96707.961671875091</v>
      </c>
      <c r="U49" s="312"/>
      <c r="V49" s="312"/>
      <c r="W49" s="313">
        <f t="shared" si="8"/>
        <v>1501426.0160712518</v>
      </c>
      <c r="X49" s="313"/>
      <c r="Y49" s="313"/>
      <c r="Z49" s="41"/>
      <c r="AA49" s="1"/>
      <c r="AB49" s="47"/>
      <c r="AC49" s="7"/>
      <c r="AD49" s="7"/>
      <c r="AE49" s="7"/>
      <c r="AF49" s="7"/>
      <c r="AG49" s="7"/>
      <c r="AH49" s="7"/>
      <c r="AI49" s="7"/>
      <c r="AJ49" s="7"/>
      <c r="AK49" s="7"/>
      <c r="AL49" s="7"/>
      <c r="AM49" s="7"/>
      <c r="AN49" s="7"/>
      <c r="AO49" s="9"/>
      <c r="AP49" s="1"/>
      <c r="AQ49" s="1"/>
      <c r="AR49" s="1"/>
    </row>
    <row r="50" spans="1:44" x14ac:dyDescent="0.3">
      <c r="A50" s="91">
        <f>VLOOKUP(B50,IRS!$L$4:$M$10,2,FALSE)</f>
        <v>0.35</v>
      </c>
      <c r="B50" s="92">
        <f>VLOOKUP(K50,IRS!$H$4:$L$10,5)</f>
        <v>0.30137920524691353</v>
      </c>
      <c r="C50" s="93">
        <f t="shared" si="9"/>
        <v>4796.1521171040749</v>
      </c>
      <c r="D50" s="3">
        <v>34</v>
      </c>
      <c r="E50" s="131">
        <f t="shared" si="6"/>
        <v>64</v>
      </c>
      <c r="F50" s="303">
        <f t="shared" si="10"/>
        <v>34</v>
      </c>
      <c r="G50" s="303"/>
      <c r="H50" s="304">
        <f t="shared" si="7"/>
        <v>1501426.0160712518</v>
      </c>
      <c r="I50" s="304"/>
      <c r="J50" s="304"/>
      <c r="K50" s="304">
        <f t="shared" si="11"/>
        <v>265233.52383556624</v>
      </c>
      <c r="L50" s="304"/>
      <c r="M50" s="304"/>
      <c r="N50" s="305">
        <f t="shared" si="12"/>
        <v>15914.011430133974</v>
      </c>
      <c r="O50" s="305"/>
      <c r="P50" s="305"/>
      <c r="Q50" s="306">
        <f t="shared" si="13"/>
        <v>7957.0057150669872</v>
      </c>
      <c r="R50" s="306"/>
      <c r="S50" s="306"/>
      <c r="T50" s="307">
        <f t="shared" si="14"/>
        <v>105099.82112498791</v>
      </c>
      <c r="U50" s="307"/>
      <c r="V50" s="307"/>
      <c r="W50" s="301">
        <f t="shared" si="8"/>
        <v>1630396.8543414408</v>
      </c>
      <c r="X50" s="301"/>
      <c r="Y50" s="301"/>
      <c r="Z50" s="41"/>
      <c r="AA50" s="1"/>
      <c r="AB50" s="47"/>
      <c r="AC50" s="7"/>
      <c r="AD50" s="7"/>
      <c r="AE50" s="7"/>
      <c r="AF50" s="7"/>
      <c r="AG50" s="7"/>
      <c r="AH50" s="7"/>
      <c r="AI50" s="7"/>
      <c r="AJ50" s="7"/>
      <c r="AK50" s="354">
        <f>AL4</f>
        <v>1</v>
      </c>
      <c r="AL50" s="354"/>
      <c r="AM50" s="249" t="s">
        <v>113</v>
      </c>
      <c r="AN50" s="7"/>
      <c r="AO50" s="9"/>
      <c r="AP50" s="1"/>
      <c r="AQ50" s="1"/>
      <c r="AR50" s="1"/>
    </row>
    <row r="51" spans="1:44" x14ac:dyDescent="0.3">
      <c r="A51" s="91">
        <f>VLOOKUP(B51,IRS!$L$4:$M$10,2,FALSE)</f>
        <v>0.35</v>
      </c>
      <c r="B51" s="92">
        <f>VLOOKUP(K51,IRS!$H$4:$L$10,5)</f>
        <v>0.30137920524691353</v>
      </c>
      <c r="C51" s="93">
        <f t="shared" si="9"/>
        <v>4940.0366806171978</v>
      </c>
      <c r="D51" s="3">
        <v>35</v>
      </c>
      <c r="E51" s="131">
        <f t="shared" si="6"/>
        <v>65</v>
      </c>
      <c r="F51" s="308">
        <f t="shared" si="10"/>
        <v>35</v>
      </c>
      <c r="G51" s="308"/>
      <c r="H51" s="309">
        <f t="shared" si="7"/>
        <v>1630396.8543414408</v>
      </c>
      <c r="I51" s="309"/>
      <c r="J51" s="309"/>
      <c r="K51" s="309">
        <f t="shared" si="11"/>
        <v>273190.52955063322</v>
      </c>
      <c r="L51" s="309"/>
      <c r="M51" s="309"/>
      <c r="N51" s="310">
        <f t="shared" si="12"/>
        <v>16391.431773037995</v>
      </c>
      <c r="O51" s="310"/>
      <c r="P51" s="310"/>
      <c r="Q51" s="311">
        <f t="shared" si="13"/>
        <v>8195.7158865189976</v>
      </c>
      <c r="R51" s="311"/>
      <c r="S51" s="311"/>
      <c r="T51" s="312">
        <f t="shared" si="14"/>
        <v>114127.77980390121</v>
      </c>
      <c r="U51" s="312"/>
      <c r="V51" s="312"/>
      <c r="W51" s="313">
        <f t="shared" si="8"/>
        <v>1769111.781804899</v>
      </c>
      <c r="X51" s="313"/>
      <c r="Y51" s="313"/>
      <c r="Z51" s="41"/>
      <c r="AA51" s="1"/>
      <c r="AB51" s="47"/>
      <c r="AC51" s="7"/>
      <c r="AD51" s="7"/>
      <c r="AE51" s="7"/>
      <c r="AF51" s="7"/>
      <c r="AG51" s="7"/>
      <c r="AH51" s="7"/>
      <c r="AI51" s="7"/>
      <c r="AJ51" s="7"/>
      <c r="AK51" s="7"/>
      <c r="AL51" s="7"/>
      <c r="AM51" s="7"/>
      <c r="AN51" s="7"/>
      <c r="AO51" s="9"/>
      <c r="AP51" s="1"/>
      <c r="AQ51" s="1"/>
      <c r="AR51" s="1"/>
    </row>
    <row r="52" spans="1:44" x14ac:dyDescent="0.3">
      <c r="A52" s="91" t="e">
        <f>VLOOKUP(B52,IRS!$L$4:$M$10,2,FALSE)</f>
        <v>#N/A</v>
      </c>
      <c r="B52" s="92"/>
      <c r="C52" s="93"/>
      <c r="D52" s="3">
        <v>36</v>
      </c>
      <c r="E52" s="131">
        <f t="shared" si="6"/>
        <v>66</v>
      </c>
      <c r="F52" s="303" t="str">
        <f t="shared" si="10"/>
        <v/>
      </c>
      <c r="G52" s="303"/>
      <c r="H52" s="304" t="str">
        <f t="shared" si="7"/>
        <v/>
      </c>
      <c r="I52" s="304"/>
      <c r="J52" s="304"/>
      <c r="K52" s="304" t="str">
        <f t="shared" si="11"/>
        <v/>
      </c>
      <c r="L52" s="304"/>
      <c r="M52" s="304"/>
      <c r="N52" s="305" t="str">
        <f t="shared" si="12"/>
        <v/>
      </c>
      <c r="O52" s="305"/>
      <c r="P52" s="305"/>
      <c r="Q52" s="306" t="str">
        <f t="shared" si="13"/>
        <v/>
      </c>
      <c r="R52" s="306"/>
      <c r="S52" s="306"/>
      <c r="T52" s="307" t="str">
        <f t="shared" si="14"/>
        <v/>
      </c>
      <c r="U52" s="307"/>
      <c r="V52" s="307"/>
      <c r="W52" s="301" t="str">
        <f t="shared" si="8"/>
        <v/>
      </c>
      <c r="X52" s="301"/>
      <c r="Y52" s="301"/>
      <c r="Z52" s="41"/>
      <c r="AA52" s="1"/>
      <c r="AB52" s="47"/>
      <c r="AC52" s="7"/>
      <c r="AD52" s="7"/>
      <c r="AE52" s="7"/>
      <c r="AF52" s="7"/>
      <c r="AG52" s="7"/>
      <c r="AH52" s="7"/>
      <c r="AI52" s="7"/>
      <c r="AJ52" s="7"/>
      <c r="AK52" s="7"/>
      <c r="AL52" s="7"/>
      <c r="AM52" s="7"/>
      <c r="AN52" s="7"/>
      <c r="AO52" s="9"/>
      <c r="AP52" s="1"/>
      <c r="AQ52" s="1"/>
      <c r="AR52" s="1"/>
    </row>
    <row r="53" spans="1:44" x14ac:dyDescent="0.3">
      <c r="A53" s="91" t="e">
        <f>VLOOKUP(B53,IRS!$L$4:$M$10,2,FALSE)</f>
        <v>#N/A</v>
      </c>
      <c r="B53" s="92"/>
      <c r="C53" s="93"/>
      <c r="D53" s="3">
        <v>37</v>
      </c>
      <c r="E53" s="131">
        <f t="shared" si="6"/>
        <v>67</v>
      </c>
      <c r="F53" s="308" t="str">
        <f t="shared" si="10"/>
        <v/>
      </c>
      <c r="G53" s="308"/>
      <c r="H53" s="309" t="str">
        <f t="shared" si="7"/>
        <v/>
      </c>
      <c r="I53" s="309"/>
      <c r="J53" s="309"/>
      <c r="K53" s="309" t="str">
        <f t="shared" si="11"/>
        <v/>
      </c>
      <c r="L53" s="309"/>
      <c r="M53" s="309"/>
      <c r="N53" s="310" t="str">
        <f t="shared" si="12"/>
        <v/>
      </c>
      <c r="O53" s="310"/>
      <c r="P53" s="310"/>
      <c r="Q53" s="311" t="str">
        <f t="shared" si="13"/>
        <v/>
      </c>
      <c r="R53" s="311"/>
      <c r="S53" s="311"/>
      <c r="T53" s="312" t="str">
        <f t="shared" si="14"/>
        <v/>
      </c>
      <c r="U53" s="312"/>
      <c r="V53" s="312"/>
      <c r="W53" s="313" t="str">
        <f t="shared" si="8"/>
        <v/>
      </c>
      <c r="X53" s="313"/>
      <c r="Y53" s="313"/>
      <c r="Z53" s="41"/>
      <c r="AA53" s="1"/>
      <c r="AB53" s="47"/>
      <c r="AC53" s="7"/>
      <c r="AD53" s="7"/>
      <c r="AE53" s="7"/>
      <c r="AF53" s="7"/>
      <c r="AG53" s="7"/>
      <c r="AH53" s="7"/>
      <c r="AI53" s="7"/>
      <c r="AJ53" s="7"/>
      <c r="AK53" s="7"/>
      <c r="AL53" s="7"/>
      <c r="AM53" s="7"/>
      <c r="AN53" s="7"/>
      <c r="AO53" s="9"/>
      <c r="AP53" s="1"/>
      <c r="AQ53" s="1"/>
      <c r="AR53" s="1"/>
    </row>
    <row r="54" spans="1:44" x14ac:dyDescent="0.3">
      <c r="A54" s="91" t="e">
        <f>VLOOKUP(B54,IRS!$L$4:$M$10,2,FALSE)</f>
        <v>#N/A</v>
      </c>
      <c r="B54" s="92"/>
      <c r="C54" s="93"/>
      <c r="D54" s="3">
        <v>38</v>
      </c>
      <c r="E54" s="131">
        <f>E53+1</f>
        <v>68</v>
      </c>
      <c r="F54" s="303" t="str">
        <f t="shared" si="10"/>
        <v/>
      </c>
      <c r="G54" s="303"/>
      <c r="H54" s="304" t="str">
        <f t="shared" si="7"/>
        <v/>
      </c>
      <c r="I54" s="304"/>
      <c r="J54" s="304"/>
      <c r="K54" s="304" t="str">
        <f t="shared" si="11"/>
        <v/>
      </c>
      <c r="L54" s="304"/>
      <c r="M54" s="304"/>
      <c r="N54" s="305" t="str">
        <f t="shared" si="12"/>
        <v/>
      </c>
      <c r="O54" s="305"/>
      <c r="P54" s="305"/>
      <c r="Q54" s="306" t="str">
        <f t="shared" si="13"/>
        <v/>
      </c>
      <c r="R54" s="306"/>
      <c r="S54" s="306"/>
      <c r="T54" s="307" t="str">
        <f t="shared" si="14"/>
        <v/>
      </c>
      <c r="U54" s="307"/>
      <c r="V54" s="307"/>
      <c r="W54" s="301" t="str">
        <f t="shared" si="8"/>
        <v/>
      </c>
      <c r="X54" s="301"/>
      <c r="Y54" s="301"/>
      <c r="Z54" s="41"/>
      <c r="AA54" s="1"/>
      <c r="AB54" s="47"/>
      <c r="AC54" s="7"/>
      <c r="AD54" s="7"/>
      <c r="AE54" s="7"/>
      <c r="AF54" s="7"/>
      <c r="AG54" s="7"/>
      <c r="AH54" s="7"/>
      <c r="AI54" s="7"/>
      <c r="AJ54" s="7"/>
      <c r="AK54" s="7"/>
      <c r="AL54" s="7"/>
      <c r="AM54" s="7"/>
      <c r="AN54" s="7"/>
      <c r="AO54" s="9"/>
      <c r="AP54" s="1"/>
      <c r="AQ54" s="1"/>
      <c r="AR54" s="1"/>
    </row>
    <row r="55" spans="1:44" x14ac:dyDescent="0.3">
      <c r="A55" s="91" t="e">
        <f>VLOOKUP(B55,IRS!$L$4:$M$10,2,FALSE)</f>
        <v>#N/A</v>
      </c>
      <c r="B55" s="92"/>
      <c r="C55" s="93"/>
      <c r="D55" s="3">
        <v>39</v>
      </c>
      <c r="E55" s="131">
        <f t="shared" si="6"/>
        <v>69</v>
      </c>
      <c r="F55" s="308" t="str">
        <f t="shared" si="10"/>
        <v/>
      </c>
      <c r="G55" s="308"/>
      <c r="H55" s="309" t="str">
        <f t="shared" si="7"/>
        <v/>
      </c>
      <c r="I55" s="309"/>
      <c r="J55" s="309"/>
      <c r="K55" s="309" t="str">
        <f t="shared" si="11"/>
        <v/>
      </c>
      <c r="L55" s="309"/>
      <c r="M55" s="309"/>
      <c r="N55" s="310" t="str">
        <f t="shared" si="12"/>
        <v/>
      </c>
      <c r="O55" s="310"/>
      <c r="P55" s="310"/>
      <c r="Q55" s="311" t="str">
        <f t="shared" si="13"/>
        <v/>
      </c>
      <c r="R55" s="311"/>
      <c r="S55" s="311"/>
      <c r="T55" s="312" t="str">
        <f t="shared" si="14"/>
        <v/>
      </c>
      <c r="U55" s="312"/>
      <c r="V55" s="312"/>
      <c r="W55" s="313" t="str">
        <f t="shared" si="8"/>
        <v/>
      </c>
      <c r="X55" s="313"/>
      <c r="Y55" s="313"/>
      <c r="Z55" s="41"/>
      <c r="AA55" s="1"/>
      <c r="AB55" s="47"/>
      <c r="AC55" s="7"/>
      <c r="AD55" s="7"/>
      <c r="AE55" s="7"/>
      <c r="AF55" s="7"/>
      <c r="AG55" s="7"/>
      <c r="AH55" s="7"/>
      <c r="AI55" s="7"/>
      <c r="AJ55" s="7"/>
      <c r="AK55" s="7"/>
      <c r="AL55" s="7"/>
      <c r="AM55" s="7"/>
      <c r="AN55" s="7"/>
      <c r="AO55" s="9"/>
      <c r="AP55" s="1"/>
      <c r="AQ55" s="1"/>
      <c r="AR55" s="1"/>
    </row>
    <row r="56" spans="1:44" x14ac:dyDescent="0.3">
      <c r="A56" s="91" t="e">
        <f>VLOOKUP(B56,IRS!$L$4:$M$10,2,FALSE)</f>
        <v>#N/A</v>
      </c>
      <c r="B56" s="92"/>
      <c r="C56" s="93"/>
      <c r="D56" s="3">
        <v>40</v>
      </c>
      <c r="E56" s="131">
        <f t="shared" si="6"/>
        <v>70</v>
      </c>
      <c r="F56" s="303" t="str">
        <f t="shared" si="10"/>
        <v/>
      </c>
      <c r="G56" s="303"/>
      <c r="H56" s="304" t="str">
        <f t="shared" si="7"/>
        <v/>
      </c>
      <c r="I56" s="304"/>
      <c r="J56" s="304"/>
      <c r="K56" s="304" t="str">
        <f t="shared" si="11"/>
        <v/>
      </c>
      <c r="L56" s="304"/>
      <c r="M56" s="304"/>
      <c r="N56" s="305" t="str">
        <f t="shared" si="12"/>
        <v/>
      </c>
      <c r="O56" s="305"/>
      <c r="P56" s="305"/>
      <c r="Q56" s="306" t="str">
        <f t="shared" si="13"/>
        <v/>
      </c>
      <c r="R56" s="306"/>
      <c r="S56" s="306"/>
      <c r="T56" s="307" t="str">
        <f t="shared" si="14"/>
        <v/>
      </c>
      <c r="U56" s="307"/>
      <c r="V56" s="307"/>
      <c r="W56" s="301" t="str">
        <f t="shared" si="8"/>
        <v/>
      </c>
      <c r="X56" s="301"/>
      <c r="Y56" s="301"/>
      <c r="Z56" s="41"/>
      <c r="AA56" s="1"/>
      <c r="AB56" s="47"/>
      <c r="AC56" s="7"/>
      <c r="AD56" s="7"/>
      <c r="AE56" s="7"/>
      <c r="AF56" s="7"/>
      <c r="AG56" s="7"/>
      <c r="AH56" s="7"/>
      <c r="AI56" s="7"/>
      <c r="AJ56" s="7"/>
      <c r="AK56" s="7"/>
      <c r="AL56" s="7"/>
      <c r="AM56" s="7"/>
      <c r="AN56" s="7"/>
      <c r="AO56" s="9"/>
      <c r="AP56" s="1"/>
      <c r="AQ56" s="1"/>
      <c r="AR56" s="1"/>
    </row>
    <row r="57" spans="1:44" x14ac:dyDescent="0.3">
      <c r="A57" s="91" t="e">
        <f>VLOOKUP(B57,IRS!$L$4:$M$10,2,FALSE)</f>
        <v>#N/A</v>
      </c>
      <c r="B57" s="92"/>
      <c r="C57" s="93"/>
      <c r="D57" s="3">
        <v>41</v>
      </c>
      <c r="E57" s="131">
        <f t="shared" si="6"/>
        <v>71</v>
      </c>
      <c r="F57" s="308" t="str">
        <f t="shared" si="10"/>
        <v/>
      </c>
      <c r="G57" s="308"/>
      <c r="H57" s="309" t="str">
        <f t="shared" si="7"/>
        <v/>
      </c>
      <c r="I57" s="309"/>
      <c r="J57" s="309"/>
      <c r="K57" s="309" t="str">
        <f t="shared" si="11"/>
        <v/>
      </c>
      <c r="L57" s="309"/>
      <c r="M57" s="309"/>
      <c r="N57" s="310" t="str">
        <f t="shared" si="12"/>
        <v/>
      </c>
      <c r="O57" s="310"/>
      <c r="P57" s="310"/>
      <c r="Q57" s="311" t="str">
        <f t="shared" si="13"/>
        <v/>
      </c>
      <c r="R57" s="311"/>
      <c r="S57" s="311"/>
      <c r="T57" s="312" t="str">
        <f t="shared" si="14"/>
        <v/>
      </c>
      <c r="U57" s="312"/>
      <c r="V57" s="312"/>
      <c r="W57" s="313" t="str">
        <f t="shared" si="8"/>
        <v/>
      </c>
      <c r="X57" s="313"/>
      <c r="Y57" s="313"/>
      <c r="Z57" s="41"/>
      <c r="AA57" s="1"/>
      <c r="AB57" s="47"/>
      <c r="AC57" s="7"/>
      <c r="AD57" s="7"/>
      <c r="AE57" s="7"/>
      <c r="AF57" s="7"/>
      <c r="AG57" s="7"/>
      <c r="AH57" s="7"/>
      <c r="AI57" s="7"/>
      <c r="AJ57" s="7"/>
      <c r="AK57" s="7"/>
      <c r="AL57" s="7"/>
      <c r="AM57" s="7"/>
      <c r="AN57" s="7"/>
      <c r="AO57" s="9"/>
      <c r="AP57" s="1"/>
      <c r="AQ57" s="1"/>
      <c r="AR57" s="1"/>
    </row>
    <row r="58" spans="1:44" x14ac:dyDescent="0.3">
      <c r="A58" s="91" t="e">
        <f>VLOOKUP(B58,IRS!$L$4:$M$10,2,FALSE)</f>
        <v>#N/A</v>
      </c>
      <c r="B58" s="92"/>
      <c r="C58" s="93"/>
      <c r="D58" s="3">
        <v>42</v>
      </c>
      <c r="E58" s="131">
        <f t="shared" si="6"/>
        <v>72</v>
      </c>
      <c r="F58" s="303" t="str">
        <f t="shared" si="10"/>
        <v/>
      </c>
      <c r="G58" s="303"/>
      <c r="H58" s="304" t="str">
        <f t="shared" si="7"/>
        <v/>
      </c>
      <c r="I58" s="304"/>
      <c r="J58" s="304"/>
      <c r="K58" s="304" t="str">
        <f t="shared" si="11"/>
        <v/>
      </c>
      <c r="L58" s="304"/>
      <c r="M58" s="304"/>
      <c r="N58" s="305" t="str">
        <f t="shared" si="12"/>
        <v/>
      </c>
      <c r="O58" s="305"/>
      <c r="P58" s="305"/>
      <c r="Q58" s="306" t="str">
        <f t="shared" si="13"/>
        <v/>
      </c>
      <c r="R58" s="306"/>
      <c r="S58" s="306"/>
      <c r="T58" s="307" t="str">
        <f t="shared" si="14"/>
        <v/>
      </c>
      <c r="U58" s="307"/>
      <c r="V58" s="307"/>
      <c r="W58" s="301" t="str">
        <f t="shared" si="8"/>
        <v/>
      </c>
      <c r="X58" s="301"/>
      <c r="Y58" s="301"/>
      <c r="Z58" s="41"/>
      <c r="AA58" s="1"/>
      <c r="AB58" s="47"/>
      <c r="AC58" s="7"/>
      <c r="AD58" s="7"/>
      <c r="AE58" s="7"/>
      <c r="AF58" s="7"/>
      <c r="AG58" s="7"/>
      <c r="AH58" s="7"/>
      <c r="AI58" s="7"/>
      <c r="AJ58" s="7"/>
      <c r="AK58" s="7"/>
      <c r="AL58" s="7"/>
      <c r="AM58" s="7"/>
      <c r="AN58" s="7"/>
      <c r="AO58" s="9"/>
      <c r="AP58" s="1"/>
      <c r="AQ58" s="1"/>
      <c r="AR58" s="1"/>
    </row>
    <row r="59" spans="1:44" x14ac:dyDescent="0.3">
      <c r="A59" s="91" t="e">
        <f>VLOOKUP(B59,IRS!$L$4:$M$10,2,FALSE)</f>
        <v>#N/A</v>
      </c>
      <c r="B59" s="92"/>
      <c r="C59" s="93"/>
      <c r="D59" s="3">
        <v>43</v>
      </c>
      <c r="E59" s="131">
        <f t="shared" si="6"/>
        <v>73</v>
      </c>
      <c r="F59" s="308" t="str">
        <f t="shared" si="10"/>
        <v/>
      </c>
      <c r="G59" s="308"/>
      <c r="H59" s="309" t="str">
        <f t="shared" si="7"/>
        <v/>
      </c>
      <c r="I59" s="309"/>
      <c r="J59" s="309"/>
      <c r="K59" s="309" t="str">
        <f t="shared" si="11"/>
        <v/>
      </c>
      <c r="L59" s="309"/>
      <c r="M59" s="309"/>
      <c r="N59" s="310" t="str">
        <f t="shared" si="12"/>
        <v/>
      </c>
      <c r="O59" s="310"/>
      <c r="P59" s="310"/>
      <c r="Q59" s="311" t="str">
        <f t="shared" si="13"/>
        <v/>
      </c>
      <c r="R59" s="311"/>
      <c r="S59" s="311"/>
      <c r="T59" s="312" t="str">
        <f t="shared" si="14"/>
        <v/>
      </c>
      <c r="U59" s="312"/>
      <c r="V59" s="312"/>
      <c r="W59" s="313" t="str">
        <f t="shared" si="8"/>
        <v/>
      </c>
      <c r="X59" s="313"/>
      <c r="Y59" s="313"/>
      <c r="Z59" s="41"/>
      <c r="AA59" s="1"/>
      <c r="AB59" s="47"/>
      <c r="AC59" s="7"/>
      <c r="AD59" s="7"/>
      <c r="AE59" s="7"/>
      <c r="AF59" s="7"/>
      <c r="AG59" s="7"/>
      <c r="AH59" s="7"/>
      <c r="AI59" s="7"/>
      <c r="AJ59" s="7"/>
      <c r="AK59" s="7"/>
      <c r="AL59" s="7"/>
      <c r="AM59" s="7"/>
      <c r="AN59" s="7"/>
      <c r="AO59" s="9"/>
      <c r="AP59" s="1"/>
      <c r="AQ59" s="1"/>
      <c r="AR59" s="1"/>
    </row>
    <row r="60" spans="1:44" x14ac:dyDescent="0.3">
      <c r="A60" s="91" t="e">
        <f>VLOOKUP(B60,IRS!$L$4:$M$10,2,FALSE)</f>
        <v>#N/A</v>
      </c>
      <c r="B60" s="92"/>
      <c r="C60" s="93"/>
      <c r="D60" s="3">
        <v>44</v>
      </c>
      <c r="E60" s="131">
        <f t="shared" si="6"/>
        <v>74</v>
      </c>
      <c r="F60" s="303" t="str">
        <f t="shared" si="10"/>
        <v/>
      </c>
      <c r="G60" s="303"/>
      <c r="H60" s="304" t="str">
        <f t="shared" si="7"/>
        <v/>
      </c>
      <c r="I60" s="304"/>
      <c r="J60" s="304"/>
      <c r="K60" s="304" t="str">
        <f t="shared" si="11"/>
        <v/>
      </c>
      <c r="L60" s="304"/>
      <c r="M60" s="304"/>
      <c r="N60" s="305" t="str">
        <f t="shared" si="12"/>
        <v/>
      </c>
      <c r="O60" s="305"/>
      <c r="P60" s="305"/>
      <c r="Q60" s="306" t="str">
        <f t="shared" si="13"/>
        <v/>
      </c>
      <c r="R60" s="306"/>
      <c r="S60" s="306"/>
      <c r="T60" s="307" t="str">
        <f t="shared" si="14"/>
        <v/>
      </c>
      <c r="U60" s="307"/>
      <c r="V60" s="307"/>
      <c r="W60" s="301" t="str">
        <f t="shared" si="8"/>
        <v/>
      </c>
      <c r="X60" s="301"/>
      <c r="Y60" s="301"/>
      <c r="Z60" s="41"/>
      <c r="AA60" s="1"/>
      <c r="AB60" s="47"/>
      <c r="AC60" s="7"/>
      <c r="AD60" s="7"/>
      <c r="AE60" s="7"/>
      <c r="AF60" s="7"/>
      <c r="AG60" s="7"/>
      <c r="AH60" s="7"/>
      <c r="AI60" s="7"/>
      <c r="AJ60" s="7"/>
      <c r="AK60" s="7"/>
      <c r="AL60" s="7"/>
      <c r="AM60" s="7"/>
      <c r="AN60" s="7"/>
      <c r="AO60" s="9"/>
      <c r="AP60" s="1"/>
      <c r="AQ60" s="1"/>
      <c r="AR60" s="1"/>
    </row>
    <row r="61" spans="1:44" x14ac:dyDescent="0.3">
      <c r="A61" s="91" t="e">
        <f>VLOOKUP(B61,IRS!$L$4:$M$10,2,FALSE)</f>
        <v>#N/A</v>
      </c>
      <c r="B61" s="92"/>
      <c r="C61" s="93"/>
      <c r="D61" s="3">
        <v>45</v>
      </c>
      <c r="E61" s="131">
        <f t="shared" si="6"/>
        <v>75</v>
      </c>
      <c r="F61" s="308" t="str">
        <f t="shared" si="10"/>
        <v/>
      </c>
      <c r="G61" s="308"/>
      <c r="H61" s="309" t="str">
        <f t="shared" si="7"/>
        <v/>
      </c>
      <c r="I61" s="309"/>
      <c r="J61" s="309"/>
      <c r="K61" s="309" t="str">
        <f t="shared" si="11"/>
        <v/>
      </c>
      <c r="L61" s="309"/>
      <c r="M61" s="309"/>
      <c r="N61" s="310" t="str">
        <f t="shared" si="12"/>
        <v/>
      </c>
      <c r="O61" s="310"/>
      <c r="P61" s="310"/>
      <c r="Q61" s="311" t="str">
        <f t="shared" si="13"/>
        <v/>
      </c>
      <c r="R61" s="311"/>
      <c r="S61" s="311"/>
      <c r="T61" s="312" t="str">
        <f t="shared" si="14"/>
        <v/>
      </c>
      <c r="U61" s="312"/>
      <c r="V61" s="312"/>
      <c r="W61" s="313" t="str">
        <f t="shared" si="8"/>
        <v/>
      </c>
      <c r="X61" s="313"/>
      <c r="Y61" s="313"/>
      <c r="Z61" s="41"/>
      <c r="AA61" s="1"/>
      <c r="AB61" s="47"/>
      <c r="AC61" s="7"/>
      <c r="AD61" s="7"/>
      <c r="AE61" s="7"/>
      <c r="AF61" s="7"/>
      <c r="AG61" s="7"/>
      <c r="AH61" s="7"/>
      <c r="AI61" s="7"/>
      <c r="AJ61" s="7"/>
      <c r="AK61" s="7"/>
      <c r="AL61" s="7"/>
      <c r="AM61" s="7"/>
      <c r="AN61" s="7"/>
      <c r="AO61" s="9"/>
      <c r="AP61" s="1"/>
      <c r="AQ61" s="1"/>
      <c r="AR61" s="1"/>
    </row>
    <row r="62" spans="1:44" x14ac:dyDescent="0.3">
      <c r="A62" s="91" t="e">
        <f>VLOOKUP(B62,IRS!$L$4:$M$10,2,FALSE)</f>
        <v>#N/A</v>
      </c>
      <c r="B62" s="92"/>
      <c r="C62" s="93"/>
      <c r="D62" s="3">
        <v>46</v>
      </c>
      <c r="E62" s="131">
        <f t="shared" si="6"/>
        <v>76</v>
      </c>
      <c r="F62" s="303" t="str">
        <f t="shared" si="10"/>
        <v/>
      </c>
      <c r="G62" s="303"/>
      <c r="H62" s="304" t="str">
        <f t="shared" si="7"/>
        <v/>
      </c>
      <c r="I62" s="304"/>
      <c r="J62" s="304"/>
      <c r="K62" s="304" t="str">
        <f t="shared" si="11"/>
        <v/>
      </c>
      <c r="L62" s="304"/>
      <c r="M62" s="304"/>
      <c r="N62" s="305" t="str">
        <f t="shared" si="12"/>
        <v/>
      </c>
      <c r="O62" s="305"/>
      <c r="P62" s="305"/>
      <c r="Q62" s="306" t="str">
        <f t="shared" si="13"/>
        <v/>
      </c>
      <c r="R62" s="306"/>
      <c r="S62" s="306"/>
      <c r="T62" s="307" t="str">
        <f t="shared" si="14"/>
        <v/>
      </c>
      <c r="U62" s="307"/>
      <c r="V62" s="307"/>
      <c r="W62" s="301" t="str">
        <f t="shared" si="8"/>
        <v/>
      </c>
      <c r="X62" s="301"/>
      <c r="Y62" s="301"/>
      <c r="Z62" s="41"/>
      <c r="AA62" s="1"/>
      <c r="AB62" s="47"/>
      <c r="AC62" s="7"/>
      <c r="AD62" s="7"/>
      <c r="AE62" s="7"/>
      <c r="AF62" s="7"/>
      <c r="AG62" s="7"/>
      <c r="AH62" s="7"/>
      <c r="AI62" s="7"/>
      <c r="AJ62" s="7"/>
      <c r="AK62" s="7"/>
      <c r="AL62" s="7"/>
      <c r="AM62" s="7"/>
      <c r="AN62" s="7"/>
      <c r="AO62" s="9"/>
      <c r="AP62" s="1"/>
      <c r="AQ62" s="1"/>
      <c r="AR62" s="1"/>
    </row>
    <row r="63" spans="1:44" x14ac:dyDescent="0.3">
      <c r="A63" s="91" t="e">
        <f>VLOOKUP(B63,IRS!$L$4:$M$10,2,FALSE)</f>
        <v>#N/A</v>
      </c>
      <c r="B63" s="92"/>
      <c r="C63" s="93"/>
      <c r="D63" s="3">
        <v>47</v>
      </c>
      <c r="E63" s="131">
        <f t="shared" si="6"/>
        <v>77</v>
      </c>
      <c r="F63" s="308" t="str">
        <f t="shared" si="10"/>
        <v/>
      </c>
      <c r="G63" s="308"/>
      <c r="H63" s="309" t="str">
        <f t="shared" si="7"/>
        <v/>
      </c>
      <c r="I63" s="309"/>
      <c r="J63" s="309"/>
      <c r="K63" s="309" t="str">
        <f t="shared" si="11"/>
        <v/>
      </c>
      <c r="L63" s="309"/>
      <c r="M63" s="309"/>
      <c r="N63" s="310" t="str">
        <f t="shared" si="12"/>
        <v/>
      </c>
      <c r="O63" s="310"/>
      <c r="P63" s="310"/>
      <c r="Q63" s="311" t="str">
        <f t="shared" si="13"/>
        <v/>
      </c>
      <c r="R63" s="311"/>
      <c r="S63" s="311"/>
      <c r="T63" s="312" t="str">
        <f t="shared" si="14"/>
        <v/>
      </c>
      <c r="U63" s="312"/>
      <c r="V63" s="312"/>
      <c r="W63" s="313" t="str">
        <f t="shared" si="8"/>
        <v/>
      </c>
      <c r="X63" s="313"/>
      <c r="Y63" s="313"/>
      <c r="Z63" s="41"/>
      <c r="AA63" s="1"/>
      <c r="AB63" s="47"/>
      <c r="AC63" s="7"/>
      <c r="AD63" s="7"/>
      <c r="AE63" s="7"/>
      <c r="AF63" s="7"/>
      <c r="AG63" s="7" t="s">
        <v>136</v>
      </c>
      <c r="AH63" s="7"/>
      <c r="AI63" s="7"/>
      <c r="AJ63" s="7"/>
      <c r="AK63" s="7"/>
      <c r="AL63" s="7"/>
      <c r="AM63" s="7"/>
      <c r="AN63" s="7"/>
      <c r="AO63" s="9"/>
      <c r="AP63" s="1"/>
      <c r="AQ63" s="1"/>
      <c r="AR63" s="1"/>
    </row>
    <row r="64" spans="1:44" x14ac:dyDescent="0.3">
      <c r="A64" s="91" t="e">
        <f>VLOOKUP(B64,IRS!$L$4:$M$10,2,FALSE)</f>
        <v>#N/A</v>
      </c>
      <c r="B64" s="92"/>
      <c r="C64" s="93"/>
      <c r="D64" s="3">
        <v>48</v>
      </c>
      <c r="E64" s="131">
        <f t="shared" si="6"/>
        <v>78</v>
      </c>
      <c r="F64" s="303" t="str">
        <f t="shared" si="10"/>
        <v/>
      </c>
      <c r="G64" s="303"/>
      <c r="H64" s="304" t="str">
        <f t="shared" si="7"/>
        <v/>
      </c>
      <c r="I64" s="304"/>
      <c r="J64" s="304"/>
      <c r="K64" s="304" t="str">
        <f t="shared" si="11"/>
        <v/>
      </c>
      <c r="L64" s="304"/>
      <c r="M64" s="304"/>
      <c r="N64" s="305" t="str">
        <f t="shared" si="12"/>
        <v/>
      </c>
      <c r="O64" s="305"/>
      <c r="P64" s="305"/>
      <c r="Q64" s="306" t="str">
        <f t="shared" si="13"/>
        <v/>
      </c>
      <c r="R64" s="306"/>
      <c r="S64" s="306"/>
      <c r="T64" s="307" t="str">
        <f t="shared" si="14"/>
        <v/>
      </c>
      <c r="U64" s="307"/>
      <c r="V64" s="307"/>
      <c r="W64" s="301" t="str">
        <f t="shared" si="8"/>
        <v/>
      </c>
      <c r="X64" s="301"/>
      <c r="Y64" s="301"/>
      <c r="Z64" s="41"/>
      <c r="AA64" s="1"/>
      <c r="AB64" s="47"/>
      <c r="AC64" s="7"/>
      <c r="AD64" s="7"/>
      <c r="AE64" s="7"/>
      <c r="AF64" s="7"/>
      <c r="AG64" s="7"/>
      <c r="AH64" s="7"/>
      <c r="AI64" s="7"/>
      <c r="AJ64" s="7"/>
      <c r="AK64" s="7"/>
      <c r="AL64" s="7"/>
      <c r="AM64" s="7"/>
      <c r="AN64" s="7"/>
      <c r="AO64" s="9"/>
      <c r="AP64" s="1"/>
      <c r="AQ64" s="1"/>
      <c r="AR64" s="1"/>
    </row>
    <row r="65" spans="1:44" ht="15" thickBot="1" x14ac:dyDescent="0.35">
      <c r="A65" s="91" t="e">
        <f>VLOOKUP(B65,IRS!$L$4:$M$10,2,FALSE)</f>
        <v>#N/A</v>
      </c>
      <c r="B65" s="92"/>
      <c r="C65" s="93"/>
      <c r="D65" s="3">
        <v>49</v>
      </c>
      <c r="E65" s="131">
        <f t="shared" si="6"/>
        <v>79</v>
      </c>
      <c r="F65" s="308" t="str">
        <f t="shared" si="10"/>
        <v/>
      </c>
      <c r="G65" s="308"/>
      <c r="H65" s="309" t="str">
        <f t="shared" si="7"/>
        <v/>
      </c>
      <c r="I65" s="309"/>
      <c r="J65" s="309"/>
      <c r="K65" s="309" t="str">
        <f t="shared" si="11"/>
        <v/>
      </c>
      <c r="L65" s="309"/>
      <c r="M65" s="309"/>
      <c r="N65" s="310" t="str">
        <f t="shared" si="12"/>
        <v/>
      </c>
      <c r="O65" s="310"/>
      <c r="P65" s="310"/>
      <c r="Q65" s="311" t="str">
        <f t="shared" si="13"/>
        <v/>
      </c>
      <c r="R65" s="311"/>
      <c r="S65" s="311"/>
      <c r="T65" s="312" t="str">
        <f t="shared" si="14"/>
        <v/>
      </c>
      <c r="U65" s="312"/>
      <c r="V65" s="312"/>
      <c r="W65" s="313" t="str">
        <f t="shared" si="8"/>
        <v/>
      </c>
      <c r="X65" s="313"/>
      <c r="Y65" s="313"/>
      <c r="Z65" s="41"/>
      <c r="AA65" s="1"/>
      <c r="AB65" s="49"/>
      <c r="AC65" s="8"/>
      <c r="AD65" s="8"/>
      <c r="AE65" s="8"/>
      <c r="AF65" s="8"/>
      <c r="AG65" s="8"/>
      <c r="AH65" s="8"/>
      <c r="AI65" s="8"/>
      <c r="AJ65" s="8"/>
      <c r="AK65" s="8"/>
      <c r="AL65" s="8"/>
      <c r="AM65" s="8"/>
      <c r="AN65" s="8"/>
      <c r="AO65" s="50"/>
      <c r="AP65" s="1"/>
      <c r="AQ65" s="1"/>
      <c r="AR65" s="1"/>
    </row>
    <row r="66" spans="1:44" ht="15" thickTop="1" x14ac:dyDescent="0.3">
      <c r="A66" s="91" t="e">
        <f>VLOOKUP(B66,IRS!$L$4:$M$10,2,FALSE)</f>
        <v>#N/A</v>
      </c>
      <c r="B66" s="92"/>
      <c r="C66" s="93"/>
      <c r="D66" s="3">
        <v>50</v>
      </c>
      <c r="E66" s="131">
        <f t="shared" si="6"/>
        <v>80</v>
      </c>
      <c r="F66" s="303" t="str">
        <f t="shared" si="10"/>
        <v/>
      </c>
      <c r="G66" s="303"/>
      <c r="H66" s="304" t="str">
        <f t="shared" si="7"/>
        <v/>
      </c>
      <c r="I66" s="304"/>
      <c r="J66" s="304"/>
      <c r="K66" s="304" t="str">
        <f t="shared" si="11"/>
        <v/>
      </c>
      <c r="L66" s="304"/>
      <c r="M66" s="304"/>
      <c r="N66" s="305" t="str">
        <f t="shared" si="12"/>
        <v/>
      </c>
      <c r="O66" s="305"/>
      <c r="P66" s="305"/>
      <c r="Q66" s="306" t="str">
        <f t="shared" si="13"/>
        <v/>
      </c>
      <c r="R66" s="306"/>
      <c r="S66" s="306"/>
      <c r="T66" s="307" t="str">
        <f t="shared" si="14"/>
        <v/>
      </c>
      <c r="U66" s="307"/>
      <c r="V66" s="307"/>
      <c r="W66" s="301" t="str">
        <f t="shared" si="8"/>
        <v/>
      </c>
      <c r="X66" s="301"/>
      <c r="Y66" s="301"/>
      <c r="Z66" s="41"/>
      <c r="AA66" s="1"/>
      <c r="AB66" s="1"/>
      <c r="AC66" s="1"/>
      <c r="AD66" s="1"/>
      <c r="AE66" s="1"/>
      <c r="AF66" s="1"/>
      <c r="AG66" s="1"/>
      <c r="AH66" s="1"/>
      <c r="AI66" s="1"/>
      <c r="AJ66" s="1"/>
      <c r="AK66" s="1"/>
      <c r="AL66" s="1"/>
      <c r="AM66" s="1"/>
      <c r="AN66" s="1"/>
      <c r="AO66" s="1"/>
      <c r="AP66" s="1"/>
      <c r="AQ66" s="1"/>
      <c r="AR66" s="1"/>
    </row>
    <row r="67" spans="1:44" x14ac:dyDescent="0.3">
      <c r="A67" s="91" t="e">
        <f>VLOOKUP(B67,IRS!$L$4:$M$10,2,FALSE)</f>
        <v>#N/A</v>
      </c>
      <c r="B67" s="92"/>
      <c r="C67" s="93"/>
      <c r="D67" s="3">
        <v>51</v>
      </c>
      <c r="E67" s="131">
        <f t="shared" si="6"/>
        <v>81</v>
      </c>
      <c r="F67" s="308" t="str">
        <f t="shared" si="10"/>
        <v/>
      </c>
      <c r="G67" s="308"/>
      <c r="H67" s="309" t="str">
        <f t="shared" si="7"/>
        <v/>
      </c>
      <c r="I67" s="309"/>
      <c r="J67" s="309"/>
      <c r="K67" s="309" t="str">
        <f t="shared" si="11"/>
        <v/>
      </c>
      <c r="L67" s="309"/>
      <c r="M67" s="309"/>
      <c r="N67" s="310" t="str">
        <f t="shared" si="12"/>
        <v/>
      </c>
      <c r="O67" s="310"/>
      <c r="P67" s="310"/>
      <c r="Q67" s="311" t="str">
        <f t="shared" si="13"/>
        <v/>
      </c>
      <c r="R67" s="311"/>
      <c r="S67" s="311"/>
      <c r="T67" s="312" t="str">
        <f t="shared" si="14"/>
        <v/>
      </c>
      <c r="U67" s="312"/>
      <c r="V67" s="312"/>
      <c r="W67" s="313" t="str">
        <f t="shared" si="8"/>
        <v/>
      </c>
      <c r="X67" s="313"/>
      <c r="Y67" s="313"/>
      <c r="Z67" s="41"/>
      <c r="AA67" s="1"/>
      <c r="AB67" s="1"/>
      <c r="AC67" s="1"/>
      <c r="AD67" s="1"/>
      <c r="AE67" s="1"/>
      <c r="AF67" s="1"/>
      <c r="AG67" s="1"/>
      <c r="AH67" s="1"/>
      <c r="AI67" s="1"/>
      <c r="AJ67" s="1"/>
      <c r="AK67" s="1"/>
      <c r="AL67" s="1"/>
      <c r="AM67" s="1"/>
      <c r="AN67" s="1"/>
      <c r="AO67" s="1"/>
      <c r="AP67" s="1"/>
      <c r="AQ67" s="1"/>
      <c r="AR67" s="1"/>
    </row>
    <row r="68" spans="1:44" x14ac:dyDescent="0.3">
      <c r="A68" s="91" t="e">
        <f>VLOOKUP(B68,IRS!$L$4:$M$10,2,FALSE)</f>
        <v>#N/A</v>
      </c>
      <c r="B68" s="92"/>
      <c r="C68" s="93"/>
      <c r="D68" s="3">
        <v>52</v>
      </c>
      <c r="E68" s="131">
        <f t="shared" si="6"/>
        <v>82</v>
      </c>
      <c r="F68" s="303" t="str">
        <f t="shared" si="10"/>
        <v/>
      </c>
      <c r="G68" s="303"/>
      <c r="H68" s="304" t="str">
        <f t="shared" si="7"/>
        <v/>
      </c>
      <c r="I68" s="304"/>
      <c r="J68" s="304"/>
      <c r="K68" s="304" t="str">
        <f t="shared" si="11"/>
        <v/>
      </c>
      <c r="L68" s="304"/>
      <c r="M68" s="304"/>
      <c r="N68" s="305" t="str">
        <f t="shared" si="12"/>
        <v/>
      </c>
      <c r="O68" s="305"/>
      <c r="P68" s="305"/>
      <c r="Q68" s="306" t="str">
        <f t="shared" si="13"/>
        <v/>
      </c>
      <c r="R68" s="306"/>
      <c r="S68" s="306"/>
      <c r="T68" s="307" t="str">
        <f t="shared" si="14"/>
        <v/>
      </c>
      <c r="U68" s="307"/>
      <c r="V68" s="307"/>
      <c r="W68" s="301" t="str">
        <f t="shared" si="8"/>
        <v/>
      </c>
      <c r="X68" s="301"/>
      <c r="Y68" s="301"/>
      <c r="Z68" s="41"/>
      <c r="AA68" s="1"/>
      <c r="AB68" s="1"/>
      <c r="AC68" s="1"/>
      <c r="AD68" s="1"/>
      <c r="AE68" s="1"/>
      <c r="AF68" s="1"/>
      <c r="AG68" s="1"/>
      <c r="AH68" s="1"/>
      <c r="AI68" s="1"/>
      <c r="AJ68" s="1"/>
      <c r="AK68" s="1"/>
      <c r="AL68" s="1"/>
      <c r="AM68" s="1"/>
      <c r="AN68" s="1"/>
      <c r="AO68" s="1"/>
      <c r="AP68" s="1"/>
      <c r="AQ68" s="1"/>
      <c r="AR68" s="1"/>
    </row>
    <row r="69" spans="1:44" x14ac:dyDescent="0.3">
      <c r="A69" s="91" t="e">
        <f>VLOOKUP(B69,IRS!$L$4:$M$10,2,FALSE)</f>
        <v>#N/A</v>
      </c>
      <c r="B69" s="92"/>
      <c r="C69" s="93"/>
      <c r="D69" s="3">
        <v>53</v>
      </c>
      <c r="E69" s="131">
        <f t="shared" si="6"/>
        <v>83</v>
      </c>
      <c r="F69" s="308" t="str">
        <f t="shared" si="10"/>
        <v/>
      </c>
      <c r="G69" s="308"/>
      <c r="H69" s="309" t="str">
        <f t="shared" si="7"/>
        <v/>
      </c>
      <c r="I69" s="309"/>
      <c r="J69" s="309"/>
      <c r="K69" s="309" t="str">
        <f t="shared" si="11"/>
        <v/>
      </c>
      <c r="L69" s="309"/>
      <c r="M69" s="309"/>
      <c r="N69" s="310" t="str">
        <f t="shared" si="12"/>
        <v/>
      </c>
      <c r="O69" s="310"/>
      <c r="P69" s="310"/>
      <c r="Q69" s="311" t="str">
        <f t="shared" si="13"/>
        <v/>
      </c>
      <c r="R69" s="311"/>
      <c r="S69" s="311"/>
      <c r="T69" s="312" t="str">
        <f t="shared" si="14"/>
        <v/>
      </c>
      <c r="U69" s="312"/>
      <c r="V69" s="312"/>
      <c r="W69" s="313" t="str">
        <f t="shared" si="8"/>
        <v/>
      </c>
      <c r="X69" s="313"/>
      <c r="Y69" s="313"/>
      <c r="Z69" s="41"/>
      <c r="AA69" s="1"/>
      <c r="AB69" s="1"/>
      <c r="AC69" s="1"/>
      <c r="AD69" s="1"/>
      <c r="AE69" s="1"/>
      <c r="AF69" s="1"/>
      <c r="AG69" s="1"/>
      <c r="AH69" s="1"/>
      <c r="AI69" s="1"/>
      <c r="AJ69" s="1"/>
      <c r="AK69" s="1"/>
      <c r="AL69" s="1"/>
      <c r="AM69" s="1"/>
      <c r="AN69" s="1"/>
      <c r="AO69" s="1"/>
      <c r="AP69" s="1"/>
      <c r="AQ69" s="1"/>
      <c r="AR69" s="1"/>
    </row>
    <row r="70" spans="1:44" x14ac:dyDescent="0.3">
      <c r="A70" s="91" t="e">
        <f>VLOOKUP(B70,IRS!$L$4:$M$10,2,FALSE)</f>
        <v>#N/A</v>
      </c>
      <c r="B70" s="92"/>
      <c r="C70" s="93"/>
      <c r="D70" s="3">
        <v>54</v>
      </c>
      <c r="E70" s="131">
        <f t="shared" si="6"/>
        <v>84</v>
      </c>
      <c r="F70" s="303" t="str">
        <f t="shared" si="10"/>
        <v/>
      </c>
      <c r="G70" s="303"/>
      <c r="H70" s="304" t="str">
        <f t="shared" si="7"/>
        <v/>
      </c>
      <c r="I70" s="304"/>
      <c r="J70" s="304"/>
      <c r="K70" s="304" t="str">
        <f t="shared" si="11"/>
        <v/>
      </c>
      <c r="L70" s="304"/>
      <c r="M70" s="304"/>
      <c r="N70" s="305" t="str">
        <f t="shared" si="12"/>
        <v/>
      </c>
      <c r="O70" s="305"/>
      <c r="P70" s="305"/>
      <c r="Q70" s="306" t="str">
        <f t="shared" si="13"/>
        <v/>
      </c>
      <c r="R70" s="306"/>
      <c r="S70" s="306"/>
      <c r="T70" s="307" t="str">
        <f t="shared" si="14"/>
        <v/>
      </c>
      <c r="U70" s="307"/>
      <c r="V70" s="307"/>
      <c r="W70" s="301" t="str">
        <f t="shared" si="8"/>
        <v/>
      </c>
      <c r="X70" s="301"/>
      <c r="Y70" s="301"/>
      <c r="Z70" s="41"/>
      <c r="AA70" s="1"/>
      <c r="AB70" s="1"/>
      <c r="AC70" s="1"/>
      <c r="AD70" s="1"/>
      <c r="AE70" s="1"/>
      <c r="AF70" s="1"/>
      <c r="AG70" s="1"/>
      <c r="AH70" s="1"/>
      <c r="AI70" s="1"/>
      <c r="AJ70" s="1"/>
      <c r="AK70" s="1"/>
      <c r="AL70" s="1"/>
      <c r="AM70" s="1"/>
      <c r="AN70" s="1"/>
      <c r="AO70" s="1"/>
      <c r="AP70" s="1"/>
      <c r="AQ70" s="1"/>
      <c r="AR70" s="1"/>
    </row>
    <row r="71" spans="1:44" x14ac:dyDescent="0.3">
      <c r="A71" s="91" t="e">
        <f>VLOOKUP(B71,IRS!$L$4:$M$10,2,FALSE)</f>
        <v>#N/A</v>
      </c>
      <c r="B71" s="92"/>
      <c r="C71" s="93"/>
      <c r="D71" s="3">
        <v>55</v>
      </c>
      <c r="E71" s="131">
        <f t="shared" si="6"/>
        <v>85</v>
      </c>
      <c r="F71" s="308" t="str">
        <f t="shared" si="10"/>
        <v/>
      </c>
      <c r="G71" s="308"/>
      <c r="H71" s="309" t="str">
        <f t="shared" si="7"/>
        <v/>
      </c>
      <c r="I71" s="309"/>
      <c r="J71" s="309"/>
      <c r="K71" s="309" t="str">
        <f t="shared" si="11"/>
        <v/>
      </c>
      <c r="L71" s="309"/>
      <c r="M71" s="309"/>
      <c r="N71" s="310" t="str">
        <f t="shared" si="12"/>
        <v/>
      </c>
      <c r="O71" s="310"/>
      <c r="P71" s="310"/>
      <c r="Q71" s="311" t="str">
        <f t="shared" si="13"/>
        <v/>
      </c>
      <c r="R71" s="311"/>
      <c r="S71" s="311"/>
      <c r="T71" s="312" t="str">
        <f t="shared" si="14"/>
        <v/>
      </c>
      <c r="U71" s="312"/>
      <c r="V71" s="312"/>
      <c r="W71" s="313" t="str">
        <f t="shared" si="8"/>
        <v/>
      </c>
      <c r="X71" s="313"/>
      <c r="Y71" s="313"/>
      <c r="Z71" s="41"/>
      <c r="AA71" s="1"/>
      <c r="AB71" s="1"/>
      <c r="AC71" s="1"/>
      <c r="AD71" s="1"/>
      <c r="AE71" s="1"/>
      <c r="AF71" s="1"/>
      <c r="AG71" s="1"/>
      <c r="AH71" s="1"/>
      <c r="AI71" s="1"/>
      <c r="AJ71" s="1"/>
      <c r="AK71" s="1"/>
      <c r="AL71" s="1"/>
      <c r="AM71" s="1"/>
      <c r="AN71" s="1"/>
      <c r="AO71" s="1"/>
      <c r="AP71" s="1"/>
      <c r="AQ71" s="1"/>
      <c r="AR71" s="1"/>
    </row>
    <row r="72" spans="1:44" x14ac:dyDescent="0.3">
      <c r="A72" s="91" t="e">
        <f>VLOOKUP(B72,IRS!$L$4:$M$10,2,FALSE)</f>
        <v>#N/A</v>
      </c>
      <c r="B72" s="92"/>
      <c r="C72" s="93"/>
      <c r="D72" s="3">
        <v>56</v>
      </c>
      <c r="E72" s="131">
        <f t="shared" si="6"/>
        <v>86</v>
      </c>
      <c r="F72" s="303" t="str">
        <f t="shared" si="10"/>
        <v/>
      </c>
      <c r="G72" s="303"/>
      <c r="H72" s="304" t="str">
        <f t="shared" si="7"/>
        <v/>
      </c>
      <c r="I72" s="304"/>
      <c r="J72" s="304"/>
      <c r="K72" s="304" t="str">
        <f t="shared" si="11"/>
        <v/>
      </c>
      <c r="L72" s="304"/>
      <c r="M72" s="304"/>
      <c r="N72" s="305" t="str">
        <f t="shared" si="12"/>
        <v/>
      </c>
      <c r="O72" s="305"/>
      <c r="P72" s="305"/>
      <c r="Q72" s="306" t="str">
        <f t="shared" si="13"/>
        <v/>
      </c>
      <c r="R72" s="306"/>
      <c r="S72" s="306"/>
      <c r="T72" s="307" t="str">
        <f t="shared" si="14"/>
        <v/>
      </c>
      <c r="U72" s="307"/>
      <c r="V72" s="307"/>
      <c r="W72" s="301" t="str">
        <f t="shared" si="8"/>
        <v/>
      </c>
      <c r="X72" s="301"/>
      <c r="Y72" s="301"/>
      <c r="Z72" s="41"/>
      <c r="AA72" s="1"/>
      <c r="AB72" s="1"/>
      <c r="AC72" s="1"/>
      <c r="AD72" s="1"/>
      <c r="AE72" s="1"/>
      <c r="AF72" s="1"/>
      <c r="AG72" s="1"/>
      <c r="AH72" s="1"/>
      <c r="AI72" s="1"/>
      <c r="AJ72" s="1"/>
      <c r="AK72" s="1"/>
      <c r="AL72" s="1"/>
      <c r="AM72" s="1"/>
      <c r="AN72" s="1"/>
      <c r="AO72" s="1"/>
      <c r="AP72" s="1"/>
      <c r="AQ72" s="1"/>
      <c r="AR72" s="1"/>
    </row>
    <row r="73" spans="1:44" x14ac:dyDescent="0.3">
      <c r="A73" s="91" t="e">
        <f>VLOOKUP(B73,IRS!$L$4:$M$10,2,FALSE)</f>
        <v>#N/A</v>
      </c>
      <c r="B73" s="92"/>
      <c r="C73" s="93"/>
      <c r="D73" s="3">
        <v>57</v>
      </c>
      <c r="E73" s="131">
        <f t="shared" si="6"/>
        <v>87</v>
      </c>
      <c r="F73" s="308" t="str">
        <f t="shared" si="10"/>
        <v/>
      </c>
      <c r="G73" s="308"/>
      <c r="H73" s="309" t="str">
        <f t="shared" si="7"/>
        <v/>
      </c>
      <c r="I73" s="309"/>
      <c r="J73" s="309"/>
      <c r="K73" s="309" t="str">
        <f t="shared" si="11"/>
        <v/>
      </c>
      <c r="L73" s="309"/>
      <c r="M73" s="309"/>
      <c r="N73" s="310" t="str">
        <f t="shared" si="12"/>
        <v/>
      </c>
      <c r="O73" s="310"/>
      <c r="P73" s="310"/>
      <c r="Q73" s="311" t="str">
        <f t="shared" si="13"/>
        <v/>
      </c>
      <c r="R73" s="311"/>
      <c r="S73" s="311"/>
      <c r="T73" s="312" t="str">
        <f t="shared" si="14"/>
        <v/>
      </c>
      <c r="U73" s="312"/>
      <c r="V73" s="312"/>
      <c r="W73" s="313" t="str">
        <f t="shared" si="8"/>
        <v/>
      </c>
      <c r="X73" s="313"/>
      <c r="Y73" s="313"/>
      <c r="Z73" s="41"/>
      <c r="AA73" s="1"/>
      <c r="AB73" s="1"/>
      <c r="AC73" s="1"/>
      <c r="AD73" s="1"/>
      <c r="AE73" s="1"/>
      <c r="AF73" s="1"/>
      <c r="AG73" s="1"/>
      <c r="AH73" s="1"/>
      <c r="AI73" s="1"/>
      <c r="AJ73" s="1"/>
      <c r="AK73" s="1"/>
      <c r="AL73" s="1"/>
      <c r="AM73" s="1"/>
      <c r="AN73" s="1"/>
      <c r="AO73" s="1"/>
      <c r="AP73" s="1"/>
      <c r="AQ73" s="1"/>
      <c r="AR73" s="1"/>
    </row>
    <row r="74" spans="1:44" x14ac:dyDescent="0.3">
      <c r="A74" s="91" t="e">
        <f>VLOOKUP(B74,IRS!$L$4:$M$10,2,FALSE)</f>
        <v>#N/A</v>
      </c>
      <c r="B74" s="92"/>
      <c r="C74" s="93"/>
      <c r="D74" s="3">
        <v>58</v>
      </c>
      <c r="E74" s="131">
        <f t="shared" si="6"/>
        <v>88</v>
      </c>
      <c r="F74" s="303" t="str">
        <f t="shared" si="10"/>
        <v/>
      </c>
      <c r="G74" s="303"/>
      <c r="H74" s="304" t="str">
        <f t="shared" si="7"/>
        <v/>
      </c>
      <c r="I74" s="304"/>
      <c r="J74" s="304"/>
      <c r="K74" s="304" t="str">
        <f t="shared" si="11"/>
        <v/>
      </c>
      <c r="L74" s="304"/>
      <c r="M74" s="304"/>
      <c r="N74" s="305" t="str">
        <f t="shared" si="12"/>
        <v/>
      </c>
      <c r="O74" s="305"/>
      <c r="P74" s="305"/>
      <c r="Q74" s="306" t="str">
        <f t="shared" si="13"/>
        <v/>
      </c>
      <c r="R74" s="306"/>
      <c r="S74" s="306"/>
      <c r="T74" s="307" t="str">
        <f t="shared" si="14"/>
        <v/>
      </c>
      <c r="U74" s="307"/>
      <c r="V74" s="307"/>
      <c r="W74" s="301" t="str">
        <f t="shared" si="8"/>
        <v/>
      </c>
      <c r="X74" s="301"/>
      <c r="Y74" s="301"/>
      <c r="Z74" s="41"/>
      <c r="AA74" s="1"/>
      <c r="AB74" s="1"/>
      <c r="AC74" s="1"/>
      <c r="AD74" s="1"/>
      <c r="AE74" s="1"/>
      <c r="AF74" s="1"/>
      <c r="AG74" s="1"/>
      <c r="AH74" s="1"/>
      <c r="AI74" s="1"/>
      <c r="AJ74" s="1"/>
      <c r="AK74" s="1"/>
      <c r="AL74" s="1"/>
      <c r="AM74" s="1"/>
      <c r="AN74" s="1"/>
      <c r="AO74" s="1"/>
      <c r="AP74" s="1"/>
      <c r="AQ74" s="1"/>
      <c r="AR74" s="1"/>
    </row>
    <row r="75" spans="1:44" x14ac:dyDescent="0.3">
      <c r="A75" s="91" t="e">
        <f>VLOOKUP(B75,IRS!$L$4:$M$10,2,FALSE)</f>
        <v>#N/A</v>
      </c>
      <c r="B75" s="92"/>
      <c r="C75" s="93"/>
      <c r="D75" s="3">
        <v>59</v>
      </c>
      <c r="E75" s="131">
        <f t="shared" si="6"/>
        <v>89</v>
      </c>
      <c r="F75" s="308" t="str">
        <f t="shared" si="10"/>
        <v/>
      </c>
      <c r="G75" s="308"/>
      <c r="H75" s="309" t="str">
        <f t="shared" si="7"/>
        <v/>
      </c>
      <c r="I75" s="309"/>
      <c r="J75" s="309"/>
      <c r="K75" s="309" t="str">
        <f t="shared" si="11"/>
        <v/>
      </c>
      <c r="L75" s="309"/>
      <c r="M75" s="309"/>
      <c r="N75" s="310" t="str">
        <f t="shared" si="12"/>
        <v/>
      </c>
      <c r="O75" s="310"/>
      <c r="P75" s="310"/>
      <c r="Q75" s="311" t="str">
        <f t="shared" si="13"/>
        <v/>
      </c>
      <c r="R75" s="311"/>
      <c r="S75" s="311"/>
      <c r="T75" s="312" t="str">
        <f t="shared" si="14"/>
        <v/>
      </c>
      <c r="U75" s="312"/>
      <c r="V75" s="312"/>
      <c r="W75" s="313" t="str">
        <f t="shared" si="8"/>
        <v/>
      </c>
      <c r="X75" s="313"/>
      <c r="Y75" s="313"/>
      <c r="Z75" s="41"/>
      <c r="AA75" s="1"/>
      <c r="AB75" s="1"/>
      <c r="AC75" s="1"/>
      <c r="AD75" s="1"/>
      <c r="AE75" s="1"/>
      <c r="AF75" s="1"/>
      <c r="AG75" s="1"/>
      <c r="AH75" s="1"/>
      <c r="AI75" s="1"/>
      <c r="AJ75" s="1"/>
      <c r="AK75" s="1"/>
      <c r="AL75" s="1"/>
      <c r="AM75" s="1"/>
      <c r="AN75" s="1"/>
      <c r="AO75" s="1"/>
      <c r="AP75" s="1"/>
      <c r="AQ75" s="1"/>
      <c r="AR75" s="1"/>
    </row>
    <row r="76" spans="1:44" x14ac:dyDescent="0.3">
      <c r="A76" s="91" t="e">
        <f>VLOOKUP(B76,IRS!$L$4:$M$10,2,FALSE)</f>
        <v>#N/A</v>
      </c>
      <c r="B76" s="92"/>
      <c r="C76" s="93"/>
      <c r="D76" s="3">
        <v>60</v>
      </c>
      <c r="E76" s="131">
        <f t="shared" si="6"/>
        <v>90</v>
      </c>
      <c r="F76" s="303" t="str">
        <f t="shared" si="10"/>
        <v/>
      </c>
      <c r="G76" s="303"/>
      <c r="H76" s="304" t="str">
        <f t="shared" si="7"/>
        <v/>
      </c>
      <c r="I76" s="304"/>
      <c r="J76" s="304"/>
      <c r="K76" s="304" t="str">
        <f t="shared" si="11"/>
        <v/>
      </c>
      <c r="L76" s="304"/>
      <c r="M76" s="304"/>
      <c r="N76" s="305" t="str">
        <f t="shared" si="12"/>
        <v/>
      </c>
      <c r="O76" s="305"/>
      <c r="P76" s="305"/>
      <c r="Q76" s="306" t="str">
        <f t="shared" si="13"/>
        <v/>
      </c>
      <c r="R76" s="306"/>
      <c r="S76" s="306"/>
      <c r="T76" s="307" t="str">
        <f t="shared" si="14"/>
        <v/>
      </c>
      <c r="U76" s="307"/>
      <c r="V76" s="307"/>
      <c r="W76" s="301" t="str">
        <f t="shared" si="8"/>
        <v/>
      </c>
      <c r="X76" s="301"/>
      <c r="Y76" s="301"/>
      <c r="Z76" s="41"/>
      <c r="AA76" s="1"/>
      <c r="AB76" s="1"/>
      <c r="AC76" s="1"/>
      <c r="AD76" s="1"/>
      <c r="AE76" s="1"/>
      <c r="AF76" s="1"/>
      <c r="AG76" s="1"/>
      <c r="AH76" s="1"/>
      <c r="AI76" s="1"/>
      <c r="AJ76" s="1"/>
      <c r="AK76" s="1"/>
      <c r="AL76" s="1"/>
      <c r="AM76" s="1"/>
      <c r="AN76" s="1"/>
      <c r="AO76" s="1"/>
      <c r="AP76" s="1"/>
      <c r="AQ76" s="1"/>
      <c r="AR76" s="1"/>
    </row>
    <row r="77" spans="1:44" ht="15" thickBot="1" x14ac:dyDescent="0.35">
      <c r="A77" s="91"/>
      <c r="B77" s="92"/>
      <c r="C77" s="93"/>
      <c r="E77" s="132"/>
      <c r="F77" s="302"/>
      <c r="G77" s="302"/>
      <c r="H77" s="177"/>
      <c r="I77" s="177"/>
      <c r="J77" s="177"/>
      <c r="K77" s="177"/>
      <c r="L77" s="177"/>
      <c r="M77" s="177"/>
      <c r="N77" s="177" t="str">
        <f t="shared" si="12"/>
        <v/>
      </c>
      <c r="O77" s="177"/>
      <c r="P77" s="177"/>
      <c r="Q77" s="177"/>
      <c r="R77" s="177"/>
      <c r="S77" s="177"/>
      <c r="T77" s="178"/>
      <c r="U77" s="178"/>
      <c r="V77" s="178"/>
      <c r="W77" s="177"/>
      <c r="X77" s="177"/>
      <c r="Y77" s="177"/>
      <c r="Z77" s="39"/>
      <c r="AA77" s="1"/>
      <c r="AB77" s="1"/>
      <c r="AC77" s="1"/>
      <c r="AD77" s="1"/>
      <c r="AE77" s="1"/>
      <c r="AF77" s="1"/>
      <c r="AG77" s="1"/>
      <c r="AH77" s="1"/>
      <c r="AI77" s="1"/>
      <c r="AJ77" s="1"/>
      <c r="AK77" s="1"/>
      <c r="AL77" s="1"/>
      <c r="AM77" s="1"/>
      <c r="AN77" s="1"/>
      <c r="AO77" s="1"/>
    </row>
    <row r="78" spans="1:44" ht="15" thickTop="1" x14ac:dyDescent="0.3">
      <c r="F78" s="293"/>
      <c r="G78" s="293"/>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4" x14ac:dyDescent="0.3">
      <c r="F79" s="293"/>
      <c r="G79" s="293"/>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4" x14ac:dyDescent="0.3">
      <c r="F80" s="293"/>
      <c r="G80" s="293"/>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6:41" x14ac:dyDescent="0.3">
      <c r="F81" s="293"/>
      <c r="G81" s="293"/>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6:41" x14ac:dyDescent="0.3">
      <c r="F82" s="293"/>
      <c r="G82" s="293"/>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6:41" x14ac:dyDescent="0.3">
      <c r="F83" s="293"/>
      <c r="G83" s="293"/>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6:41" x14ac:dyDescent="0.3">
      <c r="F84" s="293"/>
      <c r="G84" s="293"/>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6:41" x14ac:dyDescent="0.3">
      <c r="F85" s="293"/>
      <c r="G85" s="293"/>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6:41" x14ac:dyDescent="0.3">
      <c r="F86" s="293"/>
      <c r="G86" s="293"/>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6:41" x14ac:dyDescent="0.3">
      <c r="F87" s="293"/>
      <c r="G87" s="293"/>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6:41" x14ac:dyDescent="0.3">
      <c r="F88" s="293"/>
      <c r="G88" s="293"/>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6:41" x14ac:dyDescent="0.3">
      <c r="F89" s="293"/>
      <c r="G89" s="293"/>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6:41" x14ac:dyDescent="0.3">
      <c r="F90" s="293"/>
      <c r="G90" s="293"/>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6:41" x14ac:dyDescent="0.3">
      <c r="F91" s="293"/>
      <c r="G91" s="293"/>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6:41" x14ac:dyDescent="0.3">
      <c r="F92" s="293"/>
      <c r="G92" s="293"/>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6:41" x14ac:dyDescent="0.3">
      <c r="F93" s="293"/>
      <c r="G93" s="293"/>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6:41" x14ac:dyDescent="0.3">
      <c r="F94" s="293"/>
      <c r="G94" s="293"/>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6:41" x14ac:dyDescent="0.3">
      <c r="F95" s="293"/>
      <c r="G95" s="293"/>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6:41" x14ac:dyDescent="0.3">
      <c r="F96" s="293"/>
      <c r="G96" s="293"/>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6:41" x14ac:dyDescent="0.3">
      <c r="F97" s="293"/>
      <c r="G97" s="293"/>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6:41" x14ac:dyDescent="0.3">
      <c r="F98" s="293"/>
      <c r="G98" s="293"/>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6:41" x14ac:dyDescent="0.3">
      <c r="F99" s="293"/>
      <c r="G99" s="293"/>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6:41" x14ac:dyDescent="0.3">
      <c r="F100" s="293"/>
      <c r="G100" s="293"/>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6:41" x14ac:dyDescent="0.3">
      <c r="F101" s="293"/>
      <c r="G101" s="293"/>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6:41" x14ac:dyDescent="0.3">
      <c r="F102" s="293"/>
      <c r="G102" s="293"/>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6:41" x14ac:dyDescent="0.3">
      <c r="F103" s="293"/>
      <c r="G103" s="293"/>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6:41" x14ac:dyDescent="0.3">
      <c r="F104" s="293"/>
      <c r="G104" s="293"/>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6:41" x14ac:dyDescent="0.3">
      <c r="F105" s="293"/>
      <c r="G105" s="293"/>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6:41" x14ac:dyDescent="0.3">
      <c r="F106" s="293"/>
      <c r="G106" s="293"/>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6:41" x14ac:dyDescent="0.3">
      <c r="F107" s="293"/>
      <c r="G107" s="293"/>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6:41" x14ac:dyDescent="0.3">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6:41" x14ac:dyDescent="0.3">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6:41" x14ac:dyDescent="0.3">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6:41" x14ac:dyDescent="0.3">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6:41" x14ac:dyDescent="0.3">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6:41" x14ac:dyDescent="0.3">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6:41" x14ac:dyDescent="0.3">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6:41" x14ac:dyDescent="0.3">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6:41" x14ac:dyDescent="0.3">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6:41" x14ac:dyDescent="0.3">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6:41" x14ac:dyDescent="0.3">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6:41" x14ac:dyDescent="0.3">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6:41" x14ac:dyDescent="0.3">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6:41" x14ac:dyDescent="0.3">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sheetData>
  <mergeCells count="519">
    <mergeCell ref="E2:AO2"/>
    <mergeCell ref="F5:J5"/>
    <mergeCell ref="K5:M5"/>
    <mergeCell ref="P5:T5"/>
    <mergeCell ref="U5:W5"/>
    <mergeCell ref="AL5:AN5"/>
    <mergeCell ref="K13:M13"/>
    <mergeCell ref="AL4:AN4"/>
    <mergeCell ref="AK50:AL50"/>
    <mergeCell ref="AI6:AK6"/>
    <mergeCell ref="AL6:AN6"/>
    <mergeCell ref="AC7:AE7"/>
    <mergeCell ref="AF7:AH7"/>
    <mergeCell ref="AI7:AK7"/>
    <mergeCell ref="AL7:AN7"/>
    <mergeCell ref="F6:J6"/>
    <mergeCell ref="K6:M6"/>
    <mergeCell ref="P6:Q6"/>
    <mergeCell ref="R6:T6"/>
    <mergeCell ref="U6:W6"/>
    <mergeCell ref="AF6:AH6"/>
    <mergeCell ref="AI8:AK8"/>
    <mergeCell ref="AL8:AN8"/>
    <mergeCell ref="F9:J9"/>
    <mergeCell ref="K9:M9"/>
    <mergeCell ref="P9:T9"/>
    <mergeCell ref="U9:W9"/>
    <mergeCell ref="AC9:AE9"/>
    <mergeCell ref="AF9:AH9"/>
    <mergeCell ref="AI9:AK9"/>
    <mergeCell ref="AL9:AN9"/>
    <mergeCell ref="F8:J8"/>
    <mergeCell ref="K8:M8"/>
    <mergeCell ref="P8:T8"/>
    <mergeCell ref="U8:W8"/>
    <mergeCell ref="AC8:AE8"/>
    <mergeCell ref="AF8:AH8"/>
    <mergeCell ref="F11:J11"/>
    <mergeCell ref="K11:M11"/>
    <mergeCell ref="P11:T11"/>
    <mergeCell ref="U11:W11"/>
    <mergeCell ref="AC11:AE11"/>
    <mergeCell ref="AF11:AH11"/>
    <mergeCell ref="F10:J10"/>
    <mergeCell ref="K10:M10"/>
    <mergeCell ref="P10:T10"/>
    <mergeCell ref="U10:W10"/>
    <mergeCell ref="AC10:AE10"/>
    <mergeCell ref="AF10:AH10"/>
    <mergeCell ref="AC15:AN15"/>
    <mergeCell ref="F17:G17"/>
    <mergeCell ref="H17:J17"/>
    <mergeCell ref="K17:M17"/>
    <mergeCell ref="N17:P17"/>
    <mergeCell ref="Q17:S17"/>
    <mergeCell ref="T17:V17"/>
    <mergeCell ref="W17:Y17"/>
    <mergeCell ref="Y12:Z12"/>
    <mergeCell ref="F15:G16"/>
    <mergeCell ref="H15:J16"/>
    <mergeCell ref="K15:M16"/>
    <mergeCell ref="N15:P16"/>
    <mergeCell ref="Q15:S16"/>
    <mergeCell ref="T15:V16"/>
    <mergeCell ref="W15:Y16"/>
    <mergeCell ref="W18:Y18"/>
    <mergeCell ref="F19:G19"/>
    <mergeCell ref="H19:J19"/>
    <mergeCell ref="K19:M19"/>
    <mergeCell ref="N19:P19"/>
    <mergeCell ref="Q19:S19"/>
    <mergeCell ref="T19:V19"/>
    <mergeCell ref="W19:Y19"/>
    <mergeCell ref="F18:G18"/>
    <mergeCell ref="H18:J18"/>
    <mergeCell ref="K18:M18"/>
    <mergeCell ref="N18:P18"/>
    <mergeCell ref="Q18:S18"/>
    <mergeCell ref="T18:V18"/>
    <mergeCell ref="W20:Y20"/>
    <mergeCell ref="F21:G21"/>
    <mergeCell ref="H21:J21"/>
    <mergeCell ref="K21:M21"/>
    <mergeCell ref="N21:P21"/>
    <mergeCell ref="Q21:S21"/>
    <mergeCell ref="T21:V21"/>
    <mergeCell ref="W21:Y21"/>
    <mergeCell ref="F20:G20"/>
    <mergeCell ref="H20:J20"/>
    <mergeCell ref="K20:M20"/>
    <mergeCell ref="N20:P20"/>
    <mergeCell ref="Q20:S20"/>
    <mergeCell ref="T20:V20"/>
    <mergeCell ref="W22:Y22"/>
    <mergeCell ref="F23:G23"/>
    <mergeCell ref="H23:J23"/>
    <mergeCell ref="K23:M23"/>
    <mergeCell ref="N23:P23"/>
    <mergeCell ref="Q23:S23"/>
    <mergeCell ref="T23:V23"/>
    <mergeCell ref="W23:Y23"/>
    <mergeCell ref="F22:G22"/>
    <mergeCell ref="H22:J22"/>
    <mergeCell ref="K22:M22"/>
    <mergeCell ref="N22:P22"/>
    <mergeCell ref="Q22:S22"/>
    <mergeCell ref="T22:V22"/>
    <mergeCell ref="W24:Y24"/>
    <mergeCell ref="F25:G25"/>
    <mergeCell ref="H25:J25"/>
    <mergeCell ref="K25:M25"/>
    <mergeCell ref="N25:P25"/>
    <mergeCell ref="Q25:S25"/>
    <mergeCell ref="T25:V25"/>
    <mergeCell ref="W25:Y25"/>
    <mergeCell ref="F24:G24"/>
    <mergeCell ref="H24:J24"/>
    <mergeCell ref="K24:M24"/>
    <mergeCell ref="N24:P24"/>
    <mergeCell ref="Q24:S24"/>
    <mergeCell ref="T24:V24"/>
    <mergeCell ref="W26:Y26"/>
    <mergeCell ref="F27:G27"/>
    <mergeCell ref="H27:J27"/>
    <mergeCell ref="K27:M27"/>
    <mergeCell ref="N27:P27"/>
    <mergeCell ref="Q27:S27"/>
    <mergeCell ref="T27:V27"/>
    <mergeCell ref="W27:Y27"/>
    <mergeCell ref="F26:G26"/>
    <mergeCell ref="H26:J26"/>
    <mergeCell ref="K26:M26"/>
    <mergeCell ref="N26:P26"/>
    <mergeCell ref="Q26:S26"/>
    <mergeCell ref="T26:V26"/>
    <mergeCell ref="W28:Y28"/>
    <mergeCell ref="F29:G29"/>
    <mergeCell ref="H29:J29"/>
    <mergeCell ref="K29:M29"/>
    <mergeCell ref="N29:P29"/>
    <mergeCell ref="Q29:S29"/>
    <mergeCell ref="T29:V29"/>
    <mergeCell ref="W29:Y29"/>
    <mergeCell ref="F28:G28"/>
    <mergeCell ref="H28:J28"/>
    <mergeCell ref="K28:M28"/>
    <mergeCell ref="N28:P28"/>
    <mergeCell ref="Q28:S28"/>
    <mergeCell ref="T28:V28"/>
    <mergeCell ref="W30:Y30"/>
    <mergeCell ref="AC30:AN30"/>
    <mergeCell ref="F31:G31"/>
    <mergeCell ref="H31:J31"/>
    <mergeCell ref="K31:M31"/>
    <mergeCell ref="N31:P31"/>
    <mergeCell ref="Q31:S31"/>
    <mergeCell ref="T31:V31"/>
    <mergeCell ref="W31:Y31"/>
    <mergeCell ref="F30:G30"/>
    <mergeCell ref="H30:J30"/>
    <mergeCell ref="K30:M30"/>
    <mergeCell ref="N30:P30"/>
    <mergeCell ref="Q30:S30"/>
    <mergeCell ref="T30:V30"/>
    <mergeCell ref="W32:Y32"/>
    <mergeCell ref="AC32:AN32"/>
    <mergeCell ref="F33:G33"/>
    <mergeCell ref="H33:J33"/>
    <mergeCell ref="K33:M33"/>
    <mergeCell ref="N33:P33"/>
    <mergeCell ref="Q33:S33"/>
    <mergeCell ref="T33:V33"/>
    <mergeCell ref="W33:Y33"/>
    <mergeCell ref="F32:G32"/>
    <mergeCell ref="H32:J32"/>
    <mergeCell ref="K32:M32"/>
    <mergeCell ref="N32:P32"/>
    <mergeCell ref="Q32:S32"/>
    <mergeCell ref="T32:V32"/>
    <mergeCell ref="W34:Y34"/>
    <mergeCell ref="F35:G35"/>
    <mergeCell ref="H35:J35"/>
    <mergeCell ref="K35:M35"/>
    <mergeCell ref="N35:P35"/>
    <mergeCell ref="Q35:S35"/>
    <mergeCell ref="T35:V35"/>
    <mergeCell ref="W35:Y35"/>
    <mergeCell ref="F34:G34"/>
    <mergeCell ref="H34:J34"/>
    <mergeCell ref="K34:M34"/>
    <mergeCell ref="N34:P34"/>
    <mergeCell ref="Q34:S34"/>
    <mergeCell ref="T34:V34"/>
    <mergeCell ref="W36:Y36"/>
    <mergeCell ref="F37:G37"/>
    <mergeCell ref="H37:J37"/>
    <mergeCell ref="K37:M37"/>
    <mergeCell ref="N37:P37"/>
    <mergeCell ref="Q37:S37"/>
    <mergeCell ref="T37:V37"/>
    <mergeCell ref="W37:Y37"/>
    <mergeCell ref="F36:G36"/>
    <mergeCell ref="H36:J36"/>
    <mergeCell ref="K36:M36"/>
    <mergeCell ref="N36:P36"/>
    <mergeCell ref="Q36:S36"/>
    <mergeCell ref="T36:V36"/>
    <mergeCell ref="W38:Y38"/>
    <mergeCell ref="F39:G39"/>
    <mergeCell ref="H39:J39"/>
    <mergeCell ref="K39:M39"/>
    <mergeCell ref="N39:P39"/>
    <mergeCell ref="Q39:S39"/>
    <mergeCell ref="T39:V39"/>
    <mergeCell ref="W39:Y39"/>
    <mergeCell ref="F38:G38"/>
    <mergeCell ref="H38:J38"/>
    <mergeCell ref="K38:M38"/>
    <mergeCell ref="N38:P38"/>
    <mergeCell ref="Q38:S38"/>
    <mergeCell ref="T38:V38"/>
    <mergeCell ref="W40:Y40"/>
    <mergeCell ref="F41:G41"/>
    <mergeCell ref="H41:J41"/>
    <mergeCell ref="K41:M41"/>
    <mergeCell ref="N41:P41"/>
    <mergeCell ref="Q41:S41"/>
    <mergeCell ref="T41:V41"/>
    <mergeCell ref="W41:Y41"/>
    <mergeCell ref="F40:G40"/>
    <mergeCell ref="H40:J40"/>
    <mergeCell ref="K40:M40"/>
    <mergeCell ref="N40:P40"/>
    <mergeCell ref="Q40:S40"/>
    <mergeCell ref="T40:V40"/>
    <mergeCell ref="W42:Y42"/>
    <mergeCell ref="F43:G43"/>
    <mergeCell ref="H43:J43"/>
    <mergeCell ref="K43:M43"/>
    <mergeCell ref="N43:P43"/>
    <mergeCell ref="Q43:S43"/>
    <mergeCell ref="T43:V43"/>
    <mergeCell ref="W43:Y43"/>
    <mergeCell ref="F42:G42"/>
    <mergeCell ref="H42:J42"/>
    <mergeCell ref="K42:M42"/>
    <mergeCell ref="N42:P42"/>
    <mergeCell ref="Q42:S42"/>
    <mergeCell ref="T42:V42"/>
    <mergeCell ref="W44:Y44"/>
    <mergeCell ref="F45:G45"/>
    <mergeCell ref="H45:J45"/>
    <mergeCell ref="K45:M45"/>
    <mergeCell ref="N45:P45"/>
    <mergeCell ref="Q45:S45"/>
    <mergeCell ref="T45:V45"/>
    <mergeCell ref="W45:Y45"/>
    <mergeCell ref="F44:G44"/>
    <mergeCell ref="H44:J44"/>
    <mergeCell ref="K44:M44"/>
    <mergeCell ref="N44:P44"/>
    <mergeCell ref="Q44:S44"/>
    <mergeCell ref="T44:V44"/>
    <mergeCell ref="W46:Y46"/>
    <mergeCell ref="F47:G47"/>
    <mergeCell ref="H47:J47"/>
    <mergeCell ref="K47:M47"/>
    <mergeCell ref="N47:P47"/>
    <mergeCell ref="Q47:S47"/>
    <mergeCell ref="T47:V47"/>
    <mergeCell ref="W47:Y47"/>
    <mergeCell ref="F46:G46"/>
    <mergeCell ref="H46:J46"/>
    <mergeCell ref="K46:M46"/>
    <mergeCell ref="N46:P46"/>
    <mergeCell ref="Q46:S46"/>
    <mergeCell ref="T46:V46"/>
    <mergeCell ref="W48:Y48"/>
    <mergeCell ref="AC48:AN48"/>
    <mergeCell ref="F49:G49"/>
    <mergeCell ref="H49:J49"/>
    <mergeCell ref="K49:M49"/>
    <mergeCell ref="N49:P49"/>
    <mergeCell ref="Q49:S49"/>
    <mergeCell ref="T49:V49"/>
    <mergeCell ref="W49:Y49"/>
    <mergeCell ref="F48:G48"/>
    <mergeCell ref="H48:J48"/>
    <mergeCell ref="K48:M48"/>
    <mergeCell ref="N48:P48"/>
    <mergeCell ref="Q48:S48"/>
    <mergeCell ref="T48:V48"/>
    <mergeCell ref="W50:Y50"/>
    <mergeCell ref="F51:G51"/>
    <mergeCell ref="H51:J51"/>
    <mergeCell ref="K51:M51"/>
    <mergeCell ref="N51:P51"/>
    <mergeCell ref="Q51:S51"/>
    <mergeCell ref="T51:V51"/>
    <mergeCell ref="W51:Y51"/>
    <mergeCell ref="F50:G50"/>
    <mergeCell ref="H50:J50"/>
    <mergeCell ref="K50:M50"/>
    <mergeCell ref="N50:P50"/>
    <mergeCell ref="Q50:S50"/>
    <mergeCell ref="T50:V50"/>
    <mergeCell ref="W52:Y52"/>
    <mergeCell ref="F53:G53"/>
    <mergeCell ref="H53:J53"/>
    <mergeCell ref="K53:M53"/>
    <mergeCell ref="N53:P53"/>
    <mergeCell ref="Q53:S53"/>
    <mergeCell ref="T53:V53"/>
    <mergeCell ref="W53:Y53"/>
    <mergeCell ref="F52:G52"/>
    <mergeCell ref="H52:J52"/>
    <mergeCell ref="K52:M52"/>
    <mergeCell ref="N52:P52"/>
    <mergeCell ref="Q52:S52"/>
    <mergeCell ref="T52:V52"/>
    <mergeCell ref="W54:Y54"/>
    <mergeCell ref="F55:G55"/>
    <mergeCell ref="H55:J55"/>
    <mergeCell ref="K55:M55"/>
    <mergeCell ref="N55:P55"/>
    <mergeCell ref="Q55:S55"/>
    <mergeCell ref="T55:V55"/>
    <mergeCell ref="W55:Y55"/>
    <mergeCell ref="F54:G54"/>
    <mergeCell ref="H54:J54"/>
    <mergeCell ref="K54:M54"/>
    <mergeCell ref="N54:P54"/>
    <mergeCell ref="Q54:S54"/>
    <mergeCell ref="T54:V54"/>
    <mergeCell ref="W56:Y56"/>
    <mergeCell ref="F57:G57"/>
    <mergeCell ref="H57:J57"/>
    <mergeCell ref="K57:M57"/>
    <mergeCell ref="N57:P57"/>
    <mergeCell ref="Q57:S57"/>
    <mergeCell ref="T57:V57"/>
    <mergeCell ref="W57:Y57"/>
    <mergeCell ref="F56:G56"/>
    <mergeCell ref="H56:J56"/>
    <mergeCell ref="K56:M56"/>
    <mergeCell ref="N56:P56"/>
    <mergeCell ref="Q56:S56"/>
    <mergeCell ref="T56:V56"/>
    <mergeCell ref="W58:Y58"/>
    <mergeCell ref="F59:G59"/>
    <mergeCell ref="H59:J59"/>
    <mergeCell ref="K59:M59"/>
    <mergeCell ref="N59:P59"/>
    <mergeCell ref="Q59:S59"/>
    <mergeCell ref="T59:V59"/>
    <mergeCell ref="W59:Y59"/>
    <mergeCell ref="F58:G58"/>
    <mergeCell ref="H58:J58"/>
    <mergeCell ref="K58:M58"/>
    <mergeCell ref="N58:P58"/>
    <mergeCell ref="Q58:S58"/>
    <mergeCell ref="T58:V58"/>
    <mergeCell ref="W60:Y60"/>
    <mergeCell ref="F61:G61"/>
    <mergeCell ref="H61:J61"/>
    <mergeCell ref="K61:M61"/>
    <mergeCell ref="N61:P61"/>
    <mergeCell ref="Q61:S61"/>
    <mergeCell ref="T61:V61"/>
    <mergeCell ref="W61:Y61"/>
    <mergeCell ref="F60:G60"/>
    <mergeCell ref="H60:J60"/>
    <mergeCell ref="K60:M60"/>
    <mergeCell ref="N60:P60"/>
    <mergeCell ref="Q60:S60"/>
    <mergeCell ref="T60:V60"/>
    <mergeCell ref="W62:Y62"/>
    <mergeCell ref="F63:G63"/>
    <mergeCell ref="H63:J63"/>
    <mergeCell ref="K63:M63"/>
    <mergeCell ref="N63:P63"/>
    <mergeCell ref="Q63:S63"/>
    <mergeCell ref="T63:V63"/>
    <mergeCell ref="W63:Y63"/>
    <mergeCell ref="F62:G62"/>
    <mergeCell ref="H62:J62"/>
    <mergeCell ref="K62:M62"/>
    <mergeCell ref="N62:P62"/>
    <mergeCell ref="Q62:S62"/>
    <mergeCell ref="T62:V62"/>
    <mergeCell ref="W64:Y64"/>
    <mergeCell ref="F65:G65"/>
    <mergeCell ref="H65:J65"/>
    <mergeCell ref="K65:M65"/>
    <mergeCell ref="N65:P65"/>
    <mergeCell ref="Q65:S65"/>
    <mergeCell ref="T65:V65"/>
    <mergeCell ref="W65:Y65"/>
    <mergeCell ref="F64:G64"/>
    <mergeCell ref="H64:J64"/>
    <mergeCell ref="K64:M64"/>
    <mergeCell ref="N64:P64"/>
    <mergeCell ref="Q64:S64"/>
    <mergeCell ref="T64:V64"/>
    <mergeCell ref="W66:Y66"/>
    <mergeCell ref="F67:G67"/>
    <mergeCell ref="H67:J67"/>
    <mergeCell ref="K67:M67"/>
    <mergeCell ref="N67:P67"/>
    <mergeCell ref="Q67:S67"/>
    <mergeCell ref="T67:V67"/>
    <mergeCell ref="W67:Y67"/>
    <mergeCell ref="F66:G66"/>
    <mergeCell ref="H66:J66"/>
    <mergeCell ref="K66:M66"/>
    <mergeCell ref="N66:P66"/>
    <mergeCell ref="Q66:S66"/>
    <mergeCell ref="T66:V66"/>
    <mergeCell ref="W68:Y68"/>
    <mergeCell ref="F69:G69"/>
    <mergeCell ref="H69:J69"/>
    <mergeCell ref="K69:M69"/>
    <mergeCell ref="N69:P69"/>
    <mergeCell ref="Q69:S69"/>
    <mergeCell ref="T69:V69"/>
    <mergeCell ref="W69:Y69"/>
    <mergeCell ref="F68:G68"/>
    <mergeCell ref="H68:J68"/>
    <mergeCell ref="K68:M68"/>
    <mergeCell ref="N68:P68"/>
    <mergeCell ref="Q68:S68"/>
    <mergeCell ref="T68:V68"/>
    <mergeCell ref="W70:Y70"/>
    <mergeCell ref="F71:G71"/>
    <mergeCell ref="H71:J71"/>
    <mergeCell ref="K71:M71"/>
    <mergeCell ref="N71:P71"/>
    <mergeCell ref="Q71:S71"/>
    <mergeCell ref="T71:V71"/>
    <mergeCell ref="W71:Y71"/>
    <mergeCell ref="F70:G70"/>
    <mergeCell ref="H70:J70"/>
    <mergeCell ref="K70:M70"/>
    <mergeCell ref="N70:P70"/>
    <mergeCell ref="Q70:S70"/>
    <mergeCell ref="T70:V70"/>
    <mergeCell ref="W72:Y72"/>
    <mergeCell ref="F73:G73"/>
    <mergeCell ref="H73:J73"/>
    <mergeCell ref="K73:M73"/>
    <mergeCell ref="N73:P73"/>
    <mergeCell ref="Q73:S73"/>
    <mergeCell ref="T73:V73"/>
    <mergeCell ref="W73:Y73"/>
    <mergeCell ref="F72:G72"/>
    <mergeCell ref="H72:J72"/>
    <mergeCell ref="K72:M72"/>
    <mergeCell ref="N72:P72"/>
    <mergeCell ref="Q72:S72"/>
    <mergeCell ref="T72:V72"/>
    <mergeCell ref="W74:Y74"/>
    <mergeCell ref="F75:G75"/>
    <mergeCell ref="H75:J75"/>
    <mergeCell ref="K75:M75"/>
    <mergeCell ref="N75:P75"/>
    <mergeCell ref="Q75:S75"/>
    <mergeCell ref="T75:V75"/>
    <mergeCell ref="W75:Y75"/>
    <mergeCell ref="F74:G74"/>
    <mergeCell ref="H74:J74"/>
    <mergeCell ref="K74:M74"/>
    <mergeCell ref="N74:P74"/>
    <mergeCell ref="Q74:S74"/>
    <mergeCell ref="T74:V74"/>
    <mergeCell ref="W76:Y76"/>
    <mergeCell ref="F77:G77"/>
    <mergeCell ref="F78:G78"/>
    <mergeCell ref="F79:G79"/>
    <mergeCell ref="F80:G80"/>
    <mergeCell ref="F81:G81"/>
    <mergeCell ref="F76:G76"/>
    <mergeCell ref="H76:J76"/>
    <mergeCell ref="K76:M76"/>
    <mergeCell ref="N76:P76"/>
    <mergeCell ref="Q76:S76"/>
    <mergeCell ref="T76:V76"/>
    <mergeCell ref="F91:G91"/>
    <mergeCell ref="F92:G92"/>
    <mergeCell ref="F93:G93"/>
    <mergeCell ref="F82:G82"/>
    <mergeCell ref="F83:G83"/>
    <mergeCell ref="F84:G84"/>
    <mergeCell ref="F85:G85"/>
    <mergeCell ref="F86:G86"/>
    <mergeCell ref="F87:G87"/>
    <mergeCell ref="E15:E16"/>
    <mergeCell ref="AF12:AH12"/>
    <mergeCell ref="F106:G106"/>
    <mergeCell ref="F107:G107"/>
    <mergeCell ref="AC5:AE5"/>
    <mergeCell ref="AI5:AK5"/>
    <mergeCell ref="AF5:AH5"/>
    <mergeCell ref="AC6:AE6"/>
    <mergeCell ref="AC12:AE12"/>
    <mergeCell ref="F100:G100"/>
    <mergeCell ref="F101:G101"/>
    <mergeCell ref="F102:G102"/>
    <mergeCell ref="F103:G103"/>
    <mergeCell ref="F104:G104"/>
    <mergeCell ref="F105:G105"/>
    <mergeCell ref="F94:G94"/>
    <mergeCell ref="F95:G95"/>
    <mergeCell ref="F96:G96"/>
    <mergeCell ref="F97:G97"/>
    <mergeCell ref="F98:G98"/>
    <mergeCell ref="F99:G99"/>
    <mergeCell ref="F88:G88"/>
    <mergeCell ref="F89:G89"/>
    <mergeCell ref="F90:G90"/>
  </mergeCells>
  <conditionalFormatting sqref="A17:A77">
    <cfRule type="containsErrors" dxfId="2" priority="2">
      <formula>ISERROR(A17)</formula>
    </cfRule>
  </conditionalFormatting>
  <conditionalFormatting sqref="B42:C51">
    <cfRule type="containsErrors" dxfId="1" priority="1">
      <formula>ISERROR(B42)</formula>
    </cfRule>
  </conditionalFormatting>
  <pageMargins left="0.7" right="0.7" top="0.75" bottom="0.75" header="0.3" footer="0.3"/>
  <pageSetup scale="51" fitToHeight="0" orientation="portrait" r:id="rId1"/>
  <ignoredErrors>
    <ignoredError sqref="A52:A73 A74:A76 A42:A51 B42:C51"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Q64"/>
  <sheetViews>
    <sheetView showGridLines="0" workbookViewId="0">
      <selection activeCell="K53" sqref="K53"/>
    </sheetView>
  </sheetViews>
  <sheetFormatPr defaultRowHeight="14.4" x14ac:dyDescent="0.3"/>
  <cols>
    <col min="1" max="3" width="4.6640625" customWidth="1"/>
    <col min="4" max="4" width="11.5546875" style="184" customWidth="1"/>
    <col min="5" max="5" width="11.33203125" style="184" customWidth="1"/>
    <col min="6" max="7" width="12.44140625" style="184" customWidth="1"/>
    <col min="8" max="8" width="12.44140625" customWidth="1"/>
    <col min="9" max="10" width="4.6640625" customWidth="1"/>
    <col min="11" max="12" width="14.33203125" customWidth="1"/>
    <col min="13" max="13" width="11.5546875" customWidth="1"/>
    <col min="14" max="14" width="10.109375" customWidth="1"/>
    <col min="15" max="15" width="8.88671875" customWidth="1"/>
    <col min="16" max="58" width="4.6640625" customWidth="1"/>
  </cols>
  <sheetData>
    <row r="1" spans="1:17" ht="15" thickTop="1" x14ac:dyDescent="0.3">
      <c r="B1" s="53"/>
      <c r="C1" s="54"/>
      <c r="D1" s="180"/>
      <c r="E1" s="180"/>
      <c r="F1" s="180"/>
      <c r="G1" s="180"/>
      <c r="H1" s="54"/>
      <c r="I1" s="54"/>
      <c r="J1" s="54"/>
      <c r="K1" s="54"/>
      <c r="L1" s="54"/>
      <c r="M1" s="54"/>
      <c r="N1" s="54"/>
      <c r="O1" s="54"/>
      <c r="P1" s="54"/>
      <c r="Q1" s="55"/>
    </row>
    <row r="2" spans="1:17" x14ac:dyDescent="0.3">
      <c r="A2" t="s">
        <v>63</v>
      </c>
      <c r="B2" s="56"/>
      <c r="C2" s="63"/>
      <c r="D2" s="248" t="s">
        <v>105</v>
      </c>
      <c r="E2" s="248" t="s">
        <v>8</v>
      </c>
      <c r="F2" s="248" t="s">
        <v>124</v>
      </c>
      <c r="G2" s="248" t="s">
        <v>10</v>
      </c>
      <c r="H2" s="58" t="s">
        <v>145</v>
      </c>
      <c r="I2" s="63">
        <f>'MaxPreTax IRA'!RetirementAge-'MaxPreTax IRA'!CurrentAge</f>
        <v>35</v>
      </c>
      <c r="J2" s="65">
        <f>ROUND(I2/8,0)</f>
        <v>4</v>
      </c>
      <c r="K2" s="64" t="s">
        <v>7</v>
      </c>
      <c r="L2" s="64" t="s">
        <v>11</v>
      </c>
      <c r="M2" s="65" t="s">
        <v>124</v>
      </c>
      <c r="N2" s="63"/>
      <c r="O2" s="65" t="s">
        <v>10</v>
      </c>
      <c r="P2" s="57"/>
      <c r="Q2" s="59"/>
    </row>
    <row r="3" spans="1:17" x14ac:dyDescent="0.3">
      <c r="A3">
        <f>'MaxPreTax IRA'!E17</f>
        <v>31</v>
      </c>
      <c r="B3" s="56"/>
      <c r="C3" s="63">
        <f>'MaxPreTax IRA'!F17</f>
        <v>1</v>
      </c>
      <c r="D3" s="182">
        <f>IF(C3="",0,'MaxPreTax IRA'!N17)</f>
        <v>6000</v>
      </c>
      <c r="E3" s="182">
        <f>IF(C3="",0,'MaxPreTax IRA'!Q17)</f>
        <v>3000</v>
      </c>
      <c r="F3" s="182">
        <f>IF(C3="",0,'MaxPreTax IRA'!T17)</f>
        <v>8.7311491370201111E-11</v>
      </c>
      <c r="G3" s="182">
        <f>IF(C3="",0,F3+E3+D3)</f>
        <v>9000.0000000000873</v>
      </c>
      <c r="H3" s="264">
        <f>'MaxPreTax IRA'!B17</f>
        <v>0.20374451928965093</v>
      </c>
      <c r="I3" s="63">
        <v>0</v>
      </c>
      <c r="J3" s="63">
        <f>C3</f>
        <v>1</v>
      </c>
      <c r="K3" s="67">
        <f>D3</f>
        <v>6000</v>
      </c>
      <c r="L3" s="67">
        <f>E3</f>
        <v>3000</v>
      </c>
      <c r="M3" s="66">
        <f>F3</f>
        <v>8.7311491370201111E-11</v>
      </c>
      <c r="N3" s="63">
        <f>J3</f>
        <v>1</v>
      </c>
      <c r="O3" s="63">
        <f>G3</f>
        <v>9000.0000000000873</v>
      </c>
      <c r="P3" s="57"/>
      <c r="Q3" s="59"/>
    </row>
    <row r="4" spans="1:17" x14ac:dyDescent="0.3">
      <c r="A4">
        <f>'MaxPreTax IRA'!E18</f>
        <v>32</v>
      </c>
      <c r="B4" s="56"/>
      <c r="C4" s="63">
        <f>'MaxPreTax IRA'!F18</f>
        <v>2</v>
      </c>
      <c r="D4" s="182">
        <f>IF(C4="",0,SUM('MaxPreTax IRA'!N$17:N18))</f>
        <v>12180</v>
      </c>
      <c r="E4" s="182">
        <f>IF(C4="",0,SUM('MaxPreTax IRA'!Q$17:Q18))</f>
        <v>6090</v>
      </c>
      <c r="F4" s="182">
        <f>IF(C4="",0,SUM('MaxPreTax IRA'!T$17:T18))</f>
        <v>630.00000000020373</v>
      </c>
      <c r="G4" s="182">
        <f t="shared" ref="G4:G62" si="0">IF(C4="",0,F4+E4+D4)</f>
        <v>18900.000000000204</v>
      </c>
      <c r="H4" s="264">
        <f>'MaxPreTax IRA'!B18</f>
        <v>0.20374451928965093</v>
      </c>
      <c r="I4" s="63">
        <v>2</v>
      </c>
      <c r="J4" s="63">
        <f>J3+$J$2-2</f>
        <v>3</v>
      </c>
      <c r="K4" s="67">
        <f t="shared" ref="K4:K12" si="1">VLOOKUP($J4,CumList,2,FALSE)</f>
        <v>18545.400000000001</v>
      </c>
      <c r="L4" s="67">
        <f t="shared" ref="L4:L12" si="2">VLOOKUP($J4,CumList,3,FALSE)</f>
        <v>9272.7000000000007</v>
      </c>
      <c r="M4" s="67">
        <f t="shared" ref="M4:M12" si="3">VLOOKUP($J4,CumList,4,FALSE)</f>
        <v>1953.0000000003201</v>
      </c>
      <c r="N4" s="63">
        <f t="shared" ref="N4:N12" si="4">J4</f>
        <v>3</v>
      </c>
      <c r="O4" s="67">
        <f t="shared" ref="O4:O12" si="5">IF(J4="","",VLOOKUP($J4,CumList,5,FALSE))</f>
        <v>29771.100000000322</v>
      </c>
      <c r="P4" s="57"/>
      <c r="Q4" s="59"/>
    </row>
    <row r="5" spans="1:17" x14ac:dyDescent="0.3">
      <c r="A5">
        <f>'MaxPreTax IRA'!E19</f>
        <v>33</v>
      </c>
      <c r="B5" s="56"/>
      <c r="C5" s="63">
        <f>'MaxPreTax IRA'!F19</f>
        <v>3</v>
      </c>
      <c r="D5" s="182">
        <f>IF(C5="",0,SUM('MaxPreTax IRA'!N$17:N19))</f>
        <v>18545.400000000001</v>
      </c>
      <c r="E5" s="182">
        <f>IF(C5="",0,SUM('MaxPreTax IRA'!Q$17:Q19))</f>
        <v>9272.7000000000007</v>
      </c>
      <c r="F5" s="182">
        <f>IF(C5="",0,SUM('MaxPreTax IRA'!T$17:T19))</f>
        <v>1953.0000000003201</v>
      </c>
      <c r="G5" s="182">
        <f t="shared" si="0"/>
        <v>29771.100000000322</v>
      </c>
      <c r="H5" s="264">
        <f>'MaxPreTax IRA'!B19</f>
        <v>0.20374451928965093</v>
      </c>
      <c r="I5" s="63">
        <v>3</v>
      </c>
      <c r="J5" s="63">
        <f>ROUND(AVERAGE(J4,J6),0)</f>
        <v>7</v>
      </c>
      <c r="K5" s="67">
        <f t="shared" si="1"/>
        <v>45974.773084974004</v>
      </c>
      <c r="L5" s="67">
        <f t="shared" si="2"/>
        <v>22987.386542487002</v>
      </c>
      <c r="M5" s="67">
        <f t="shared" si="3"/>
        <v>15617.052859590884</v>
      </c>
      <c r="N5" s="63">
        <f t="shared" si="4"/>
        <v>7</v>
      </c>
      <c r="O5" s="67">
        <f t="shared" si="5"/>
        <v>84579.212487051889</v>
      </c>
      <c r="P5" s="57"/>
      <c r="Q5" s="59"/>
    </row>
    <row r="6" spans="1:17" x14ac:dyDescent="0.3">
      <c r="A6">
        <f>'MaxPreTax IRA'!E20</f>
        <v>34</v>
      </c>
      <c r="B6" s="56"/>
      <c r="C6" s="63">
        <f>'MaxPreTax IRA'!F20</f>
        <v>4</v>
      </c>
      <c r="D6" s="182">
        <f>IF(C6="",0,SUM('MaxPreTax IRA'!N$17:N20))</f>
        <v>25101.762000000002</v>
      </c>
      <c r="E6" s="182">
        <f>IF(C6="",0,SUM('MaxPreTax IRA'!Q$17:Q20))</f>
        <v>12550.881000000001</v>
      </c>
      <c r="F6" s="182">
        <f>IF(C6="",0,SUM('MaxPreTax IRA'!T$17:T20))</f>
        <v>4036.9770000004501</v>
      </c>
      <c r="G6" s="182">
        <f t="shared" si="0"/>
        <v>41689.620000000454</v>
      </c>
      <c r="H6" s="264">
        <f>'MaxPreTax IRA'!B20</f>
        <v>0.20374451928965093</v>
      </c>
      <c r="I6" s="63">
        <v>4</v>
      </c>
      <c r="J6" s="63">
        <f t="shared" ref="J6:J10" si="6">J7-$J$2</f>
        <v>11</v>
      </c>
      <c r="K6" s="67">
        <f t="shared" si="1"/>
        <v>76846.774144889117</v>
      </c>
      <c r="L6" s="67">
        <f t="shared" si="2"/>
        <v>38423.387072444559</v>
      </c>
      <c r="M6" s="67">
        <f t="shared" si="3"/>
        <v>46868.907137130591</v>
      </c>
      <c r="N6" s="63">
        <f t="shared" si="4"/>
        <v>11</v>
      </c>
      <c r="O6" s="67">
        <f t="shared" si="5"/>
        <v>162139.06835446425</v>
      </c>
      <c r="P6" s="57"/>
      <c r="Q6" s="59"/>
    </row>
    <row r="7" spans="1:17" x14ac:dyDescent="0.3">
      <c r="A7">
        <f>'MaxPreTax IRA'!E21</f>
        <v>35</v>
      </c>
      <c r="B7" s="56"/>
      <c r="C7" s="63">
        <f>'MaxPreTax IRA'!F21</f>
        <v>5</v>
      </c>
      <c r="D7" s="182">
        <f>IF(C7="",0,SUM('MaxPreTax IRA'!N$17:N21))</f>
        <v>31854.814860000002</v>
      </c>
      <c r="E7" s="182">
        <f>IF(C7="",0,SUM('MaxPreTax IRA'!Q$17:Q21))</f>
        <v>15927.407430000001</v>
      </c>
      <c r="F7" s="182">
        <f>IF(C7="",0,SUM('MaxPreTax IRA'!T$17:T21))</f>
        <v>6955.250400000572</v>
      </c>
      <c r="G7" s="182">
        <f t="shared" si="0"/>
        <v>54737.472690000577</v>
      </c>
      <c r="H7" s="264">
        <f>'MaxPreTax IRA'!B21</f>
        <v>0.20374451928965093</v>
      </c>
      <c r="I7" s="63">
        <v>5</v>
      </c>
      <c r="J7" s="63">
        <f t="shared" si="6"/>
        <v>15</v>
      </c>
      <c r="K7" s="67">
        <f t="shared" si="1"/>
        <v>111593.48332015291</v>
      </c>
      <c r="L7" s="67">
        <f t="shared" si="2"/>
        <v>55796.741660076455</v>
      </c>
      <c r="M7" s="67">
        <f t="shared" si="3"/>
        <v>102849.20294555157</v>
      </c>
      <c r="N7" s="63">
        <f t="shared" si="4"/>
        <v>15</v>
      </c>
      <c r="O7" s="67">
        <f t="shared" si="5"/>
        <v>270239.42792578094</v>
      </c>
      <c r="P7" s="57"/>
      <c r="Q7" s="59"/>
    </row>
    <row r="8" spans="1:17" x14ac:dyDescent="0.3">
      <c r="A8">
        <f>'MaxPreTax IRA'!E22</f>
        <v>36</v>
      </c>
      <c r="B8" s="56"/>
      <c r="C8" s="63">
        <f>'MaxPreTax IRA'!F22</f>
        <v>6</v>
      </c>
      <c r="D8" s="182">
        <f>IF(C8="",0,SUM('MaxPreTax IRA'!N$17:N22))</f>
        <v>38810.459305800003</v>
      </c>
      <c r="E8" s="182">
        <f>IF(C8="",0,SUM('MaxPreTax IRA'!Q$17:Q22))</f>
        <v>19405.229652900001</v>
      </c>
      <c r="F8" s="182">
        <f>IF(C8="",0,SUM('MaxPreTax IRA'!T$17:T22))</f>
        <v>10786.873488300713</v>
      </c>
      <c r="G8" s="182">
        <f t="shared" si="0"/>
        <v>69002.562447000717</v>
      </c>
      <c r="H8" s="264">
        <f>'MaxPreTax IRA'!B22</f>
        <v>0.20374451928965093</v>
      </c>
      <c r="I8" s="63">
        <v>6</v>
      </c>
      <c r="J8" s="63">
        <f t="shared" si="6"/>
        <v>19</v>
      </c>
      <c r="K8" s="67">
        <f t="shared" si="1"/>
        <v>150701.21061542013</v>
      </c>
      <c r="L8" s="67">
        <f t="shared" si="2"/>
        <v>75350.605307710066</v>
      </c>
      <c r="M8" s="67">
        <f t="shared" si="3"/>
        <v>193128.01751713429</v>
      </c>
      <c r="N8" s="63">
        <f t="shared" si="4"/>
        <v>19</v>
      </c>
      <c r="O8" s="67">
        <f t="shared" si="5"/>
        <v>419179.83344026445</v>
      </c>
      <c r="P8" s="57"/>
      <c r="Q8" s="59"/>
    </row>
    <row r="9" spans="1:17" x14ac:dyDescent="0.3">
      <c r="A9">
        <f>'MaxPreTax IRA'!E23</f>
        <v>37</v>
      </c>
      <c r="B9" s="56"/>
      <c r="C9" s="63">
        <f>'MaxPreTax IRA'!F23</f>
        <v>7</v>
      </c>
      <c r="D9" s="182">
        <f>IF(C9="",0,SUM('MaxPreTax IRA'!N$17:N23))</f>
        <v>45974.773084974004</v>
      </c>
      <c r="E9" s="182">
        <f>IF(C9="",0,SUM('MaxPreTax IRA'!Q$17:Q23))</f>
        <v>22987.386542487002</v>
      </c>
      <c r="F9" s="182">
        <f>IF(C9="",0,SUM('MaxPreTax IRA'!T$17:T23))</f>
        <v>15617.052859590884</v>
      </c>
      <c r="G9" s="182">
        <f t="shared" si="0"/>
        <v>84579.212487051889</v>
      </c>
      <c r="H9" s="264">
        <f>'MaxPreTax IRA'!B23</f>
        <v>0.20374451928965093</v>
      </c>
      <c r="I9" s="63">
        <v>7</v>
      </c>
      <c r="J9" s="63">
        <f t="shared" si="6"/>
        <v>23</v>
      </c>
      <c r="K9" s="67">
        <f t="shared" si="1"/>
        <v>194717.30222532086</v>
      </c>
      <c r="L9" s="67">
        <f t="shared" si="2"/>
        <v>97358.651112660431</v>
      </c>
      <c r="M9" s="67">
        <f t="shared" si="3"/>
        <v>330486.30082846689</v>
      </c>
      <c r="N9" s="63">
        <f t="shared" si="4"/>
        <v>23</v>
      </c>
      <c r="O9" s="67">
        <f t="shared" si="5"/>
        <v>622562.25416644814</v>
      </c>
      <c r="P9" s="57"/>
      <c r="Q9" s="59"/>
    </row>
    <row r="10" spans="1:17" x14ac:dyDescent="0.3">
      <c r="A10">
        <f>'MaxPreTax IRA'!E24</f>
        <v>38</v>
      </c>
      <c r="B10" s="56"/>
      <c r="C10" s="63">
        <f>'MaxPreTax IRA'!F24</f>
        <v>8</v>
      </c>
      <c r="D10" s="182">
        <f>IF(C10="",0,SUM('MaxPreTax IRA'!N$17:N24))</f>
        <v>53354.016277523224</v>
      </c>
      <c r="E10" s="182">
        <f>IF(C10="",0,SUM('MaxPreTax IRA'!Q$17:Q24))</f>
        <v>26677.008138761612</v>
      </c>
      <c r="F10" s="182">
        <f>IF(C10="",0,SUM('MaxPreTax IRA'!T$17:T24))</f>
        <v>21537.597733684641</v>
      </c>
      <c r="G10" s="182">
        <f t="shared" si="0"/>
        <v>101568.62214996948</v>
      </c>
      <c r="H10" s="264">
        <f>'MaxPreTax IRA'!B24</f>
        <v>0.20374451928965093</v>
      </c>
      <c r="I10" s="63">
        <v>8</v>
      </c>
      <c r="J10" s="63">
        <f t="shared" si="6"/>
        <v>27</v>
      </c>
      <c r="K10" s="67">
        <f t="shared" si="1"/>
        <v>244257.8011140312</v>
      </c>
      <c r="L10" s="67">
        <f t="shared" si="2"/>
        <v>122128.9005570156</v>
      </c>
      <c r="M10" s="67">
        <f t="shared" si="3"/>
        <v>531943.48875293427</v>
      </c>
      <c r="N10" s="63">
        <f t="shared" si="4"/>
        <v>27</v>
      </c>
      <c r="O10" s="67">
        <f t="shared" si="5"/>
        <v>898330.19042398105</v>
      </c>
      <c r="P10" s="57"/>
      <c r="Q10" s="59"/>
    </row>
    <row r="11" spans="1:17" x14ac:dyDescent="0.3">
      <c r="A11">
        <f>'MaxPreTax IRA'!E25</f>
        <v>39</v>
      </c>
      <c r="B11" s="56"/>
      <c r="C11" s="63">
        <f>'MaxPreTax IRA'!F25</f>
        <v>9</v>
      </c>
      <c r="D11" s="182">
        <f>IF(C11="",0,SUM('MaxPreTax IRA'!N$17:N25))</f>
        <v>60954.636765848918</v>
      </c>
      <c r="E11" s="182">
        <f>IF(C11="",0,SUM('MaxPreTax IRA'!Q$17:Q25))</f>
        <v>30477.318382924459</v>
      </c>
      <c r="F11" s="182">
        <f>IF(C11="",0,SUM('MaxPreTax IRA'!T$17:T25))</f>
        <v>28647.401284182619</v>
      </c>
      <c r="G11" s="182">
        <f t="shared" si="0"/>
        <v>120079.356432956</v>
      </c>
      <c r="H11" s="264">
        <f>'MaxPreTax IRA'!B25</f>
        <v>0.20374451928965093</v>
      </c>
      <c r="I11" s="63">
        <v>9</v>
      </c>
      <c r="J11" s="63">
        <f>J12-$J$2</f>
        <v>31</v>
      </c>
      <c r="K11" s="67">
        <f t="shared" si="1"/>
        <v>300016.0690650699</v>
      </c>
      <c r="L11" s="67">
        <f t="shared" si="2"/>
        <v>150008.03453253495</v>
      </c>
      <c r="M11" s="67">
        <f t="shared" si="3"/>
        <v>820108.22022508865</v>
      </c>
      <c r="N11" s="63">
        <f t="shared" si="4"/>
        <v>31</v>
      </c>
      <c r="O11" s="67">
        <f t="shared" si="5"/>
        <v>1270132.3238226934</v>
      </c>
      <c r="P11" s="57"/>
      <c r="Q11" s="59"/>
    </row>
    <row r="12" spans="1:17" x14ac:dyDescent="0.3">
      <c r="A12">
        <f>'MaxPreTax IRA'!E26</f>
        <v>40</v>
      </c>
      <c r="B12" s="56"/>
      <c r="C12" s="63">
        <f>'MaxPreTax IRA'!F26</f>
        <v>10</v>
      </c>
      <c r="D12" s="182">
        <f>IF(C12="",0,SUM('MaxPreTax IRA'!N$17:N26))</f>
        <v>68783.275868824392</v>
      </c>
      <c r="E12" s="182">
        <f>IF(C12="",0,SUM('MaxPreTax IRA'!Q$17:Q26))</f>
        <v>34391.637934412196</v>
      </c>
      <c r="F12" s="182">
        <f>IF(C12="",0,SUM('MaxPreTax IRA'!T$17:T26))</f>
        <v>37052.956234489655</v>
      </c>
      <c r="G12" s="182">
        <f t="shared" si="0"/>
        <v>140227.87003772624</v>
      </c>
      <c r="H12" s="264">
        <f>'MaxPreTax IRA'!B26</f>
        <v>0.20374451928965093</v>
      </c>
      <c r="I12" s="63">
        <v>10</v>
      </c>
      <c r="J12" s="63">
        <f>I2</f>
        <v>35</v>
      </c>
      <c r="K12" s="67">
        <f t="shared" si="1"/>
        <v>362772.49087430455</v>
      </c>
      <c r="L12" s="67">
        <f t="shared" si="2"/>
        <v>181386.24543715228</v>
      </c>
      <c r="M12" s="67">
        <f t="shared" si="3"/>
        <v>1224953.0454934419</v>
      </c>
      <c r="N12" s="63">
        <f t="shared" si="4"/>
        <v>35</v>
      </c>
      <c r="O12" s="67">
        <f t="shared" si="5"/>
        <v>1769111.7818048988</v>
      </c>
      <c r="P12" s="57"/>
      <c r="Q12" s="59"/>
    </row>
    <row r="13" spans="1:17" x14ac:dyDescent="0.3">
      <c r="A13">
        <f>'MaxPreTax IRA'!E27</f>
        <v>41</v>
      </c>
      <c r="B13" s="56"/>
      <c r="C13" s="63">
        <f>'MaxPreTax IRA'!F27</f>
        <v>11</v>
      </c>
      <c r="D13" s="182">
        <f>IF(C13="",0,SUM('MaxPreTax IRA'!N$17:N27))</f>
        <v>76846.774144889117</v>
      </c>
      <c r="E13" s="182">
        <f>IF(C13="",0,SUM('MaxPreTax IRA'!Q$17:Q27))</f>
        <v>38423.387072444559</v>
      </c>
      <c r="F13" s="182">
        <f>IF(C13="",0,SUM('MaxPreTax IRA'!T$17:T27))</f>
        <v>46868.907137130591</v>
      </c>
      <c r="G13" s="182">
        <f t="shared" si="0"/>
        <v>162139.06835446425</v>
      </c>
      <c r="H13" s="264">
        <f>'MaxPreTax IRA'!B27</f>
        <v>0.20374451928965093</v>
      </c>
      <c r="I13" s="57"/>
      <c r="J13" s="57"/>
      <c r="K13" s="57"/>
      <c r="L13" s="57"/>
      <c r="M13" s="57"/>
      <c r="N13" s="57"/>
      <c r="O13" s="57"/>
      <c r="P13" s="57"/>
      <c r="Q13" s="59"/>
    </row>
    <row r="14" spans="1:17" x14ac:dyDescent="0.3">
      <c r="A14">
        <f>'MaxPreTax IRA'!E28</f>
        <v>42</v>
      </c>
      <c r="B14" s="56"/>
      <c r="C14" s="63">
        <f>'MaxPreTax IRA'!F28</f>
        <v>12</v>
      </c>
      <c r="D14" s="182">
        <f>IF(C14="",0,SUM('MaxPreTax IRA'!N$17:N28))</f>
        <v>85152.177369235782</v>
      </c>
      <c r="E14" s="182">
        <f>IF(C14="",0,SUM('MaxPreTax IRA'!Q$17:Q28))</f>
        <v>42576.088684617891</v>
      </c>
      <c r="F14" s="182">
        <f>IF(C14="",0,SUM('MaxPreTax IRA'!T$17:T28))</f>
        <v>58218.641921943199</v>
      </c>
      <c r="G14" s="182">
        <f t="shared" si="0"/>
        <v>185946.90797579687</v>
      </c>
      <c r="H14" s="264">
        <f>'MaxPreTax IRA'!B28</f>
        <v>0.20374451928965093</v>
      </c>
      <c r="I14" s="57"/>
      <c r="J14" s="57"/>
      <c r="K14" s="57"/>
      <c r="L14" s="57"/>
      <c r="M14" s="57"/>
      <c r="N14" s="57"/>
      <c r="O14" s="57"/>
      <c r="P14" s="57"/>
      <c r="Q14" s="59"/>
    </row>
    <row r="15" spans="1:17" x14ac:dyDescent="0.3">
      <c r="A15">
        <f>'MaxPreTax IRA'!E29</f>
        <v>43</v>
      </c>
      <c r="B15" s="56"/>
      <c r="C15" s="63">
        <f>'MaxPreTax IRA'!F29</f>
        <v>13</v>
      </c>
      <c r="D15" s="182">
        <f>IF(C15="",0,SUM('MaxPreTax IRA'!N$17:N29))</f>
        <v>93706.742690312851</v>
      </c>
      <c r="E15" s="182">
        <f>IF(C15="",0,SUM('MaxPreTax IRA'!Q$17:Q29))</f>
        <v>46853.371345156425</v>
      </c>
      <c r="F15" s="182">
        <f>IF(C15="",0,SUM('MaxPreTax IRA'!T$17:T29))</f>
        <v>71234.925480249134</v>
      </c>
      <c r="G15" s="182">
        <f t="shared" si="0"/>
        <v>211795.03951571841</v>
      </c>
      <c r="H15" s="264">
        <f>'MaxPreTax IRA'!B29</f>
        <v>0.20374451928965093</v>
      </c>
      <c r="I15" s="57"/>
      <c r="J15" s="63"/>
      <c r="K15" s="65" t="s">
        <v>7</v>
      </c>
      <c r="L15" s="67">
        <f>'MaxPreTax IRA'!AF9</f>
        <v>362772.49087430455</v>
      </c>
      <c r="M15" s="57"/>
      <c r="N15" s="57"/>
      <c r="O15" s="57"/>
      <c r="P15" s="57"/>
      <c r="Q15" s="59"/>
    </row>
    <row r="16" spans="1:17" x14ac:dyDescent="0.3">
      <c r="A16">
        <f>'MaxPreTax IRA'!E30</f>
        <v>44</v>
      </c>
      <c r="B16" s="56"/>
      <c r="C16" s="63">
        <f>'MaxPreTax IRA'!F30</f>
        <v>14</v>
      </c>
      <c r="D16" s="182">
        <f>IF(C16="",0,SUM('MaxPreTax IRA'!N$17:N30))</f>
        <v>102517.94497102224</v>
      </c>
      <c r="E16" s="182">
        <f>IF(C16="",0,SUM('MaxPreTax IRA'!Q$17:Q30))</f>
        <v>51258.97248551112</v>
      </c>
      <c r="F16" s="182">
        <f>IF(C16="",0,SUM('MaxPreTax IRA'!T$17:T30))</f>
        <v>86060.578246349556</v>
      </c>
      <c r="G16" s="182">
        <f t="shared" si="0"/>
        <v>239837.49570288294</v>
      </c>
      <c r="H16" s="264">
        <f>'MaxPreTax IRA'!B30</f>
        <v>0.20374451928965093</v>
      </c>
      <c r="I16" s="57"/>
      <c r="J16" s="63"/>
      <c r="K16" s="65" t="s">
        <v>11</v>
      </c>
      <c r="L16" s="67">
        <f>'MaxPreTax IRA'!AI9</f>
        <v>181386.24543715228</v>
      </c>
      <c r="M16" s="57"/>
      <c r="N16" s="57"/>
      <c r="O16" s="57"/>
      <c r="P16" s="57"/>
      <c r="Q16" s="59"/>
    </row>
    <row r="17" spans="1:17" x14ac:dyDescent="0.3">
      <c r="A17">
        <f>'MaxPreTax IRA'!E31</f>
        <v>45</v>
      </c>
      <c r="B17" s="56"/>
      <c r="C17" s="63">
        <f>'MaxPreTax IRA'!F31</f>
        <v>15</v>
      </c>
      <c r="D17" s="182">
        <f>IF(C17="",0,SUM('MaxPreTax IRA'!N$17:N31))</f>
        <v>111593.48332015291</v>
      </c>
      <c r="E17" s="182">
        <f>IF(C17="",0,SUM('MaxPreTax IRA'!Q$17:Q31))</f>
        <v>55796.741660076455</v>
      </c>
      <c r="F17" s="182">
        <f>IF(C17="",0,SUM('MaxPreTax IRA'!T$17:T31))</f>
        <v>102849.20294555157</v>
      </c>
      <c r="G17" s="182">
        <f t="shared" si="0"/>
        <v>270239.42792578094</v>
      </c>
      <c r="H17" s="264">
        <f>'MaxPreTax IRA'!B31</f>
        <v>0.20374451928965093</v>
      </c>
      <c r="I17" s="57"/>
      <c r="J17" s="63"/>
      <c r="K17" s="65" t="s">
        <v>124</v>
      </c>
      <c r="L17" s="67">
        <f>'MaxPreTax IRA'!AF10</f>
        <v>1224953.0454934419</v>
      </c>
      <c r="M17" s="57"/>
      <c r="N17" s="57"/>
      <c r="O17" s="57"/>
      <c r="P17" s="57"/>
      <c r="Q17" s="59"/>
    </row>
    <row r="18" spans="1:17" x14ac:dyDescent="0.3">
      <c r="A18">
        <f>'MaxPreTax IRA'!E32</f>
        <v>46</v>
      </c>
      <c r="B18" s="56"/>
      <c r="C18" s="63">
        <f>'MaxPreTax IRA'!F32</f>
        <v>16</v>
      </c>
      <c r="D18" s="182">
        <f>IF(C18="",0,SUM('MaxPreTax IRA'!N$17:N32))</f>
        <v>120941.2878197575</v>
      </c>
      <c r="E18" s="182">
        <f>IF(C18="",0,SUM('MaxPreTax IRA'!Q$17:Q32))</f>
        <v>60470.643909878752</v>
      </c>
      <c r="F18" s="182">
        <f>IF(C18="",0,SUM('MaxPreTax IRA'!T$17:T32))</f>
        <v>121765.96290035636</v>
      </c>
      <c r="G18" s="182">
        <f t="shared" si="0"/>
        <v>303177.89462999266</v>
      </c>
      <c r="H18" s="264">
        <f>'MaxPreTax IRA'!B32</f>
        <v>0.20374451928965093</v>
      </c>
      <c r="I18" s="57"/>
      <c r="J18" s="57"/>
      <c r="K18" s="57"/>
      <c r="L18" s="57"/>
      <c r="M18" s="57"/>
      <c r="N18" s="57"/>
      <c r="O18" s="57"/>
      <c r="P18" s="57"/>
      <c r="Q18" s="59"/>
    </row>
    <row r="19" spans="1:17" x14ac:dyDescent="0.3">
      <c r="A19">
        <f>'MaxPreTax IRA'!E33</f>
        <v>47</v>
      </c>
      <c r="B19" s="56"/>
      <c r="C19" s="63">
        <f>'MaxPreTax IRA'!F33</f>
        <v>17</v>
      </c>
      <c r="D19" s="182">
        <f>IF(C19="",0,SUM('MaxPreTax IRA'!N$17:N33))</f>
        <v>130569.52645435023</v>
      </c>
      <c r="E19" s="182">
        <f>IF(C19="",0,SUM('MaxPreTax IRA'!Q$17:Q33))</f>
        <v>65284.763227175114</v>
      </c>
      <c r="F19" s="182">
        <f>IF(C19="",0,SUM('MaxPreTax IRA'!T$17:T33))</f>
        <v>142988.41552445604</v>
      </c>
      <c r="G19" s="182">
        <f t="shared" si="0"/>
        <v>338842.70520598139</v>
      </c>
      <c r="H19" s="264">
        <f>'MaxPreTax IRA'!B33</f>
        <v>0.20374451928965093</v>
      </c>
      <c r="I19" s="57"/>
      <c r="J19" s="57"/>
      <c r="K19" s="57"/>
      <c r="L19" s="57"/>
      <c r="M19" s="57"/>
      <c r="N19" s="57"/>
      <c r="O19" s="57"/>
      <c r="P19" s="57"/>
      <c r="Q19" s="59"/>
    </row>
    <row r="20" spans="1:17" x14ac:dyDescent="0.3">
      <c r="A20">
        <f>'MaxPreTax IRA'!E34</f>
        <v>48</v>
      </c>
      <c r="B20" s="56"/>
      <c r="C20" s="63">
        <f>'MaxPreTax IRA'!F34</f>
        <v>18</v>
      </c>
      <c r="D20" s="182">
        <f>IF(C20="",0,SUM('MaxPreTax IRA'!N$17:N34))</f>
        <v>140486.61224798072</v>
      </c>
      <c r="E20" s="182">
        <f>IF(C20="",0,SUM('MaxPreTax IRA'!Q$17:Q34))</f>
        <v>70243.306123990362</v>
      </c>
      <c r="F20" s="182">
        <f>IF(C20="",0,SUM('MaxPreTax IRA'!T$17:T34))</f>
        <v>166707.40488887482</v>
      </c>
      <c r="G20" s="182">
        <f t="shared" si="0"/>
        <v>377437.32326084591</v>
      </c>
      <c r="H20" s="264">
        <f>'MaxPreTax IRA'!B34</f>
        <v>0.22844215095249576</v>
      </c>
      <c r="I20" s="57"/>
      <c r="J20" s="57"/>
      <c r="K20" s="57"/>
      <c r="L20" s="57"/>
      <c r="M20" s="57"/>
      <c r="N20" s="57"/>
      <c r="O20" s="57"/>
      <c r="P20" s="57"/>
      <c r="Q20" s="59"/>
    </row>
    <row r="21" spans="1:17" x14ac:dyDescent="0.3">
      <c r="A21">
        <f>'MaxPreTax IRA'!E35</f>
        <v>49</v>
      </c>
      <c r="B21" s="56"/>
      <c r="C21" s="63">
        <f>'MaxPreTax IRA'!F35</f>
        <v>19</v>
      </c>
      <c r="D21" s="182">
        <f>IF(C21="",0,SUM('MaxPreTax IRA'!N$17:N35))</f>
        <v>150701.21061542013</v>
      </c>
      <c r="E21" s="182">
        <f>IF(C21="",0,SUM('MaxPreTax IRA'!Q$17:Q35))</f>
        <v>75350.605307710066</v>
      </c>
      <c r="F21" s="182">
        <f>IF(C21="",0,SUM('MaxPreTax IRA'!T$17:T35))</f>
        <v>193128.01751713429</v>
      </c>
      <c r="G21" s="182">
        <f t="shared" si="0"/>
        <v>419179.83344026445</v>
      </c>
      <c r="H21" s="264">
        <f>'MaxPreTax IRA'!B35</f>
        <v>0.22844215095249576</v>
      </c>
      <c r="I21" s="57"/>
      <c r="J21" s="57"/>
      <c r="K21" s="57"/>
      <c r="L21" s="57"/>
      <c r="M21" s="57"/>
      <c r="N21" s="57"/>
      <c r="O21" s="57"/>
      <c r="P21" s="57"/>
      <c r="Q21" s="59"/>
    </row>
    <row r="22" spans="1:17" x14ac:dyDescent="0.3">
      <c r="A22">
        <f>'MaxPreTax IRA'!E36</f>
        <v>50</v>
      </c>
      <c r="B22" s="56"/>
      <c r="C22" s="63">
        <f>'MaxPreTax IRA'!F36</f>
        <v>20</v>
      </c>
      <c r="D22" s="182">
        <f>IF(C22="",0,SUM('MaxPreTax IRA'!N$17:N36))</f>
        <v>161222.24693388274</v>
      </c>
      <c r="E22" s="182">
        <f>IF(C22="",0,SUM('MaxPreTax IRA'!Q$17:Q36))</f>
        <v>80611.123466941368</v>
      </c>
      <c r="F22" s="182">
        <f>IF(C22="",0,SUM('MaxPreTax IRA'!T$17:T36))</f>
        <v>222470.60585795293</v>
      </c>
      <c r="G22" s="182">
        <f t="shared" si="0"/>
        <v>464303.97625877708</v>
      </c>
      <c r="H22" s="264">
        <f>'MaxPreTax IRA'!B36</f>
        <v>0.22844215095249576</v>
      </c>
      <c r="I22" s="57"/>
      <c r="J22" s="57"/>
      <c r="K22" s="57"/>
      <c r="L22" s="57"/>
      <c r="M22" s="57"/>
      <c r="N22" s="57"/>
      <c r="O22" s="57"/>
      <c r="P22" s="57"/>
      <c r="Q22" s="59"/>
    </row>
    <row r="23" spans="1:17" x14ac:dyDescent="0.3">
      <c r="A23">
        <f>'MaxPreTax IRA'!E37</f>
        <v>51</v>
      </c>
      <c r="B23" s="56"/>
      <c r="C23" s="63">
        <f>'MaxPreTax IRA'!F37</f>
        <v>21</v>
      </c>
      <c r="D23" s="182">
        <f>IF(C23="",0,SUM('MaxPreTax IRA'!N$17:N37))</f>
        <v>172058.91434189922</v>
      </c>
      <c r="E23" s="182">
        <f>IF(C23="",0,SUM('MaxPreTax IRA'!Q$17:Q37))</f>
        <v>86029.457170949609</v>
      </c>
      <c r="F23" s="182">
        <f>IF(C23="",0,SUM('MaxPreTax IRA'!T$17:T37))</f>
        <v>254971.88419606755</v>
      </c>
      <c r="G23" s="182">
        <f t="shared" si="0"/>
        <v>513060.25570891635</v>
      </c>
      <c r="H23" s="264">
        <f>'MaxPreTax IRA'!B37</f>
        <v>0.22844215095249576</v>
      </c>
      <c r="I23" s="57"/>
      <c r="J23" s="57"/>
      <c r="K23" s="57"/>
      <c r="L23" s="57"/>
      <c r="M23" s="57"/>
      <c r="N23" s="57"/>
      <c r="O23" s="57"/>
      <c r="P23" s="57"/>
      <c r="Q23" s="59"/>
    </row>
    <row r="24" spans="1:17" x14ac:dyDescent="0.3">
      <c r="A24">
        <f>'MaxPreTax IRA'!E38</f>
        <v>52</v>
      </c>
      <c r="B24" s="56"/>
      <c r="C24" s="63">
        <f>'MaxPreTax IRA'!F38</f>
        <v>22</v>
      </c>
      <c r="D24" s="182">
        <f>IF(C24="",0,SUM('MaxPreTax IRA'!N$17:N38))</f>
        <v>183220.68177215618</v>
      </c>
      <c r="E24" s="182">
        <f>IF(C24="",0,SUM('MaxPreTax IRA'!Q$17:Q38))</f>
        <v>91610.340886078091</v>
      </c>
      <c r="F24" s="182">
        <f>IF(C24="",0,SUM('MaxPreTax IRA'!T$17:T38))</f>
        <v>290886.10209569195</v>
      </c>
      <c r="G24" s="182">
        <f t="shared" si="0"/>
        <v>565717.12475392618</v>
      </c>
      <c r="H24" s="264">
        <f>'MaxPreTax IRA'!B38</f>
        <v>0.22844215095249576</v>
      </c>
      <c r="I24" s="57"/>
      <c r="J24" s="57"/>
      <c r="K24" s="57"/>
      <c r="L24" s="57"/>
      <c r="M24" s="57"/>
      <c r="N24" s="57"/>
      <c r="O24" s="57"/>
      <c r="P24" s="57"/>
      <c r="Q24" s="59"/>
    </row>
    <row r="25" spans="1:17" x14ac:dyDescent="0.3">
      <c r="A25">
        <f>'MaxPreTax IRA'!E39</f>
        <v>53</v>
      </c>
      <c r="B25" s="56"/>
      <c r="C25" s="63">
        <f>'MaxPreTax IRA'!F39</f>
        <v>23</v>
      </c>
      <c r="D25" s="182">
        <f>IF(C25="",0,SUM('MaxPreTax IRA'!N$17:N39))</f>
        <v>194717.30222532086</v>
      </c>
      <c r="E25" s="182">
        <f>IF(C25="",0,SUM('MaxPreTax IRA'!Q$17:Q39))</f>
        <v>97358.651112660431</v>
      </c>
      <c r="F25" s="182">
        <f>IF(C25="",0,SUM('MaxPreTax IRA'!T$17:T39))</f>
        <v>330486.30082846689</v>
      </c>
      <c r="G25" s="182">
        <f t="shared" si="0"/>
        <v>622562.25416644814</v>
      </c>
      <c r="H25" s="264">
        <f>'MaxPreTax IRA'!B39</f>
        <v>0.22844215095249576</v>
      </c>
      <c r="I25" s="57"/>
      <c r="J25" s="57"/>
      <c r="K25" s="57"/>
      <c r="L25" s="57"/>
      <c r="M25" s="57"/>
      <c r="N25" s="57"/>
      <c r="O25" s="57"/>
      <c r="P25" s="57"/>
      <c r="Q25" s="59"/>
    </row>
    <row r="26" spans="1:17" x14ac:dyDescent="0.3">
      <c r="A26">
        <f>'MaxPreTax IRA'!E40</f>
        <v>54</v>
      </c>
      <c r="B26" s="56"/>
      <c r="C26" s="63">
        <f>'MaxPreTax IRA'!F40</f>
        <v>24</v>
      </c>
      <c r="D26" s="182">
        <f>IF(C26="",0,SUM('MaxPreTax IRA'!N$17:N40))</f>
        <v>206558.82129208048</v>
      </c>
      <c r="E26" s="182">
        <f>IF(C26="",0,SUM('MaxPreTax IRA'!Q$17:Q40))</f>
        <v>103279.41064604024</v>
      </c>
      <c r="F26" s="182">
        <f>IF(C26="",0,SUM('MaxPreTax IRA'!T$17:T40))</f>
        <v>374065.6586201184</v>
      </c>
      <c r="G26" s="182">
        <f t="shared" si="0"/>
        <v>683903.89055823907</v>
      </c>
      <c r="H26" s="264">
        <f>'MaxPreTax IRA'!B40</f>
        <v>0.22844215095249576</v>
      </c>
      <c r="I26" s="57"/>
      <c r="J26" s="57"/>
      <c r="K26" s="57"/>
      <c r="L26" s="57"/>
      <c r="M26" s="57"/>
      <c r="N26" s="57"/>
      <c r="O26" s="57"/>
      <c r="P26" s="57"/>
      <c r="Q26" s="59"/>
    </row>
    <row r="27" spans="1:17" x14ac:dyDescent="0.3">
      <c r="A27">
        <f>'MaxPreTax IRA'!E41</f>
        <v>55</v>
      </c>
      <c r="B27" s="56"/>
      <c r="C27" s="63">
        <f>'MaxPreTax IRA'!F41</f>
        <v>25</v>
      </c>
      <c r="D27" s="182">
        <f>IF(C27="",0,SUM('MaxPreTax IRA'!N$17:N41))</f>
        <v>218755.58593084288</v>
      </c>
      <c r="E27" s="182">
        <f>IF(C27="",0,SUM('MaxPreTax IRA'!Q$17:Q41))</f>
        <v>109377.79296542144</v>
      </c>
      <c r="F27" s="182">
        <f>IF(C27="",0,SUM('MaxPreTax IRA'!T$17:T41))</f>
        <v>421938.93095919536</v>
      </c>
      <c r="G27" s="182">
        <f t="shared" si="0"/>
        <v>750072.30985545972</v>
      </c>
      <c r="H27" s="264">
        <f>'MaxPreTax IRA'!B41</f>
        <v>0.22844215095249576</v>
      </c>
      <c r="I27" s="57"/>
      <c r="J27" s="57"/>
      <c r="K27" s="57"/>
      <c r="L27" s="57"/>
      <c r="M27" s="57"/>
      <c r="N27" s="57"/>
      <c r="O27" s="57"/>
      <c r="P27" s="57"/>
      <c r="Q27" s="59"/>
    </row>
    <row r="28" spans="1:17" x14ac:dyDescent="0.3">
      <c r="A28">
        <f>'MaxPreTax IRA'!E42</f>
        <v>56</v>
      </c>
      <c r="B28" s="56"/>
      <c r="C28" s="63">
        <f>'MaxPreTax IRA'!F42</f>
        <v>26</v>
      </c>
      <c r="D28" s="182">
        <f>IF(C28="",0,SUM('MaxPreTax IRA'!N$17:N42))</f>
        <v>231318.25350876816</v>
      </c>
      <c r="E28" s="182">
        <f>IF(C28="",0,SUM('MaxPreTax IRA'!Q$17:Q42))</f>
        <v>115659.12675438408</v>
      </c>
      <c r="F28" s="182">
        <f>IF(C28="",0,SUM('MaxPreTax IRA'!T$17:T42))</f>
        <v>474443.99264907779</v>
      </c>
      <c r="G28" s="182">
        <f t="shared" si="0"/>
        <v>821421.37291223009</v>
      </c>
      <c r="H28" s="264">
        <f>'MaxPreTax IRA'!B42</f>
        <v>0.30137920524691353</v>
      </c>
      <c r="I28" s="57"/>
      <c r="J28" s="57"/>
      <c r="K28" s="57"/>
      <c r="L28" s="57"/>
      <c r="M28" s="57"/>
      <c r="N28" s="57"/>
      <c r="O28" s="57"/>
      <c r="P28" s="57"/>
      <c r="Q28" s="59"/>
    </row>
    <row r="29" spans="1:17" x14ac:dyDescent="0.3">
      <c r="A29">
        <f>'MaxPreTax IRA'!E43</f>
        <v>57</v>
      </c>
      <c r="B29" s="56"/>
      <c r="C29" s="63">
        <f>'MaxPreTax IRA'!F43</f>
        <v>27</v>
      </c>
      <c r="D29" s="182">
        <f>IF(C29="",0,SUM('MaxPreTax IRA'!N$17:N43))</f>
        <v>244257.8011140312</v>
      </c>
      <c r="E29" s="182">
        <f>IF(C29="",0,SUM('MaxPreTax IRA'!Q$17:Q43))</f>
        <v>122128.9005570156</v>
      </c>
      <c r="F29" s="182">
        <f>IF(C29="",0,SUM('MaxPreTax IRA'!T$17:T43))</f>
        <v>531943.48875293427</v>
      </c>
      <c r="G29" s="182">
        <f t="shared" si="0"/>
        <v>898330.19042398105</v>
      </c>
      <c r="H29" s="264">
        <f>'MaxPreTax IRA'!B43</f>
        <v>0.30137920524691353</v>
      </c>
      <c r="I29" s="57"/>
      <c r="J29" s="57"/>
      <c r="K29" s="57"/>
      <c r="L29" s="57"/>
      <c r="M29" s="57"/>
      <c r="N29" s="57"/>
      <c r="O29" s="57"/>
      <c r="P29" s="57"/>
      <c r="Q29" s="59"/>
    </row>
    <row r="30" spans="1:17" x14ac:dyDescent="0.3">
      <c r="A30">
        <f>'MaxPreTax IRA'!E44</f>
        <v>58</v>
      </c>
      <c r="B30" s="56"/>
      <c r="C30" s="63">
        <f>'MaxPreTax IRA'!F44</f>
        <v>28</v>
      </c>
      <c r="D30" s="182">
        <f>IF(C30="",0,SUM('MaxPreTax IRA'!N$17:N44))</f>
        <v>257585.53514745214</v>
      </c>
      <c r="E30" s="182">
        <f>IF(C30="",0,SUM('MaxPreTax IRA'!Q$17:Q44))</f>
        <v>128792.76757372607</v>
      </c>
      <c r="F30" s="182">
        <f>IF(C30="",0,SUM('MaxPreTax IRA'!T$17:T44))</f>
        <v>594826.60208261327</v>
      </c>
      <c r="G30" s="182">
        <f t="shared" si="0"/>
        <v>981204.90480379143</v>
      </c>
      <c r="H30" s="264">
        <f>'MaxPreTax IRA'!B44</f>
        <v>0.30137920524691353</v>
      </c>
      <c r="I30" s="57"/>
      <c r="J30" s="57"/>
      <c r="K30" s="57"/>
      <c r="L30" s="57"/>
      <c r="M30" s="57"/>
      <c r="N30" s="57"/>
      <c r="O30" s="57"/>
      <c r="P30" s="57"/>
      <c r="Q30" s="59"/>
    </row>
    <row r="31" spans="1:17" x14ac:dyDescent="0.3">
      <c r="A31">
        <f>'MaxPreTax IRA'!E45</f>
        <v>59</v>
      </c>
      <c r="B31" s="56"/>
      <c r="C31" s="63">
        <f>'MaxPreTax IRA'!F45</f>
        <v>29</v>
      </c>
      <c r="D31" s="182">
        <f>IF(C31="",0,SUM('MaxPreTax IRA'!N$17:N45))</f>
        <v>271313.10120187572</v>
      </c>
      <c r="E31" s="182">
        <f>IF(C31="",0,SUM('MaxPreTax IRA'!Q$17:Q45))</f>
        <v>135656.55060093786</v>
      </c>
      <c r="F31" s="182">
        <f>IF(C31="",0,SUM('MaxPreTax IRA'!T$17:T45))</f>
        <v>663510.94541887881</v>
      </c>
      <c r="G31" s="182">
        <f t="shared" si="0"/>
        <v>1070480.5972216926</v>
      </c>
      <c r="H31" s="264">
        <f>'MaxPreTax IRA'!B45</f>
        <v>0.30137920524691353</v>
      </c>
      <c r="I31" s="57"/>
      <c r="J31" s="57"/>
      <c r="K31" s="57"/>
      <c r="L31" s="57"/>
      <c r="M31" s="57"/>
      <c r="N31" s="57"/>
      <c r="O31" s="57"/>
      <c r="P31" s="57"/>
      <c r="Q31" s="59"/>
    </row>
    <row r="32" spans="1:17" x14ac:dyDescent="0.3">
      <c r="A32">
        <f>'MaxPreTax IRA'!E46</f>
        <v>60</v>
      </c>
      <c r="B32" s="56"/>
      <c r="C32" s="63">
        <f>'MaxPreTax IRA'!F46</f>
        <v>30</v>
      </c>
      <c r="D32" s="182">
        <f>IF(C32="",0,SUM('MaxPreTax IRA'!N$17:N46))</f>
        <v>285452.49423793197</v>
      </c>
      <c r="E32" s="182">
        <f>IF(C32="",0,SUM('MaxPreTax IRA'!Q$17:Q46))</f>
        <v>142726.24711896598</v>
      </c>
      <c r="F32" s="182">
        <f>IF(C32="",0,SUM('MaxPreTax IRA'!T$17:T46))</f>
        <v>738444.58722439769</v>
      </c>
      <c r="G32" s="182">
        <f t="shared" si="0"/>
        <v>1166623.3285812957</v>
      </c>
      <c r="H32" s="264">
        <f>'MaxPreTax IRA'!B46</f>
        <v>0.30137920524691353</v>
      </c>
      <c r="I32" s="57"/>
      <c r="J32" s="57"/>
      <c r="K32" s="57"/>
      <c r="L32" s="57"/>
      <c r="M32" s="57"/>
      <c r="N32" s="57"/>
      <c r="O32" s="57"/>
      <c r="P32" s="57"/>
      <c r="Q32" s="59"/>
    </row>
    <row r="33" spans="1:17" x14ac:dyDescent="0.3">
      <c r="A33">
        <f>'MaxPreTax IRA'!E47</f>
        <v>61</v>
      </c>
      <c r="B33" s="56"/>
      <c r="C33" s="63">
        <f>'MaxPreTax IRA'!F47</f>
        <v>31</v>
      </c>
      <c r="D33" s="182">
        <f>IF(C33="",0,SUM('MaxPreTax IRA'!N$17:N47))</f>
        <v>300016.0690650699</v>
      </c>
      <c r="E33" s="182">
        <f>IF(C33="",0,SUM('MaxPreTax IRA'!Q$17:Q47))</f>
        <v>150008.03453253495</v>
      </c>
      <c r="F33" s="182">
        <f>IF(C33="",0,SUM('MaxPreTax IRA'!T$17:T47))</f>
        <v>820108.22022508865</v>
      </c>
      <c r="G33" s="182">
        <f t="shared" si="0"/>
        <v>1270132.3238226934</v>
      </c>
      <c r="H33" s="264">
        <f>'MaxPreTax IRA'!B47</f>
        <v>0.30137920524691353</v>
      </c>
      <c r="I33" s="57"/>
      <c r="J33" s="57"/>
      <c r="K33" s="57"/>
      <c r="L33" s="57"/>
      <c r="M33" s="57"/>
      <c r="N33" s="57"/>
      <c r="O33" s="57"/>
      <c r="P33" s="57"/>
      <c r="Q33" s="59"/>
    </row>
    <row r="34" spans="1:17" x14ac:dyDescent="0.3">
      <c r="A34">
        <f>'MaxPreTax IRA'!E48</f>
        <v>62</v>
      </c>
      <c r="B34" s="56"/>
      <c r="C34" s="63">
        <f>'MaxPreTax IRA'!F48</f>
        <v>32</v>
      </c>
      <c r="D34" s="182">
        <f>IF(C34="",0,SUM('MaxPreTax IRA'!N$17:N48))</f>
        <v>315016.55113702198</v>
      </c>
      <c r="E34" s="182">
        <f>IF(C34="",0,SUM('MaxPreTax IRA'!Q$17:Q48))</f>
        <v>157508.27556851099</v>
      </c>
      <c r="F34" s="182">
        <f>IF(C34="",0,SUM('MaxPreTax IRA'!T$17:T48))</f>
        <v>909017.48289267754</v>
      </c>
      <c r="G34" s="182">
        <f t="shared" si="0"/>
        <v>1381542.3095982105</v>
      </c>
      <c r="H34" s="264">
        <f>'MaxPreTax IRA'!B48</f>
        <v>0.30137920524691353</v>
      </c>
      <c r="I34" s="57"/>
      <c r="J34" s="57"/>
      <c r="K34" s="57"/>
      <c r="L34" s="57"/>
      <c r="M34" s="57"/>
      <c r="N34" s="57"/>
      <c r="O34" s="57"/>
      <c r="P34" s="57"/>
      <c r="Q34" s="59"/>
    </row>
    <row r="35" spans="1:17" x14ac:dyDescent="0.3">
      <c r="A35">
        <f>'MaxPreTax IRA'!E49</f>
        <v>63</v>
      </c>
      <c r="B35" s="56"/>
      <c r="C35" s="63">
        <f>'MaxPreTax IRA'!F49</f>
        <v>33</v>
      </c>
      <c r="D35" s="182">
        <f>IF(C35="",0,SUM('MaxPreTax IRA'!N$17:N49))</f>
        <v>330467.0476711326</v>
      </c>
      <c r="E35" s="182">
        <f>IF(C35="",0,SUM('MaxPreTax IRA'!Q$17:Q49))</f>
        <v>165233.5238355663</v>
      </c>
      <c r="F35" s="182">
        <f>IF(C35="",0,SUM('MaxPreTax IRA'!T$17:T49))</f>
        <v>1005725.4445645526</v>
      </c>
      <c r="G35" s="182">
        <f t="shared" si="0"/>
        <v>1501426.0160712516</v>
      </c>
      <c r="H35" s="264">
        <f>'MaxPreTax IRA'!B49</f>
        <v>0.30137920524691353</v>
      </c>
      <c r="I35" s="57"/>
      <c r="J35" s="57"/>
      <c r="K35" s="57"/>
      <c r="L35" s="57"/>
      <c r="M35" s="57"/>
      <c r="N35" s="57"/>
      <c r="O35" s="57"/>
      <c r="P35" s="57"/>
      <c r="Q35" s="59"/>
    </row>
    <row r="36" spans="1:17" x14ac:dyDescent="0.3">
      <c r="A36">
        <f>'MaxPreTax IRA'!E50</f>
        <v>64</v>
      </c>
      <c r="B36" s="56"/>
      <c r="C36" s="63">
        <f>'MaxPreTax IRA'!F50</f>
        <v>34</v>
      </c>
      <c r="D36" s="182">
        <f>IF(C36="",0,SUM('MaxPreTax IRA'!N$17:N50))</f>
        <v>346381.05910126655</v>
      </c>
      <c r="E36" s="182">
        <f>IF(C36="",0,SUM('MaxPreTax IRA'!Q$17:Q50))</f>
        <v>173190.52955063328</v>
      </c>
      <c r="F36" s="182">
        <f>IF(C36="",0,SUM('MaxPreTax IRA'!T$17:T50))</f>
        <v>1110825.2656895407</v>
      </c>
      <c r="G36" s="182">
        <f t="shared" si="0"/>
        <v>1630396.8543414406</v>
      </c>
      <c r="H36" s="264">
        <f>'MaxPreTax IRA'!B50</f>
        <v>0.30137920524691353</v>
      </c>
      <c r="I36" s="57"/>
      <c r="J36" s="57"/>
      <c r="K36" s="57"/>
      <c r="L36" s="57"/>
      <c r="M36" s="57"/>
      <c r="N36" s="57"/>
      <c r="O36" s="57"/>
      <c r="P36" s="57"/>
      <c r="Q36" s="59"/>
    </row>
    <row r="37" spans="1:17" x14ac:dyDescent="0.3">
      <c r="A37">
        <f>'MaxPreTax IRA'!E51</f>
        <v>65</v>
      </c>
      <c r="B37" s="56"/>
      <c r="C37" s="63">
        <f>'MaxPreTax IRA'!F51</f>
        <v>35</v>
      </c>
      <c r="D37" s="182">
        <f>IF(C37="",0,SUM('MaxPreTax IRA'!N$17:N51))</f>
        <v>362772.49087430455</v>
      </c>
      <c r="E37" s="182">
        <f>IF(C37="",0,SUM('MaxPreTax IRA'!Q$17:Q51))</f>
        <v>181386.24543715228</v>
      </c>
      <c r="F37" s="182">
        <f>IF(C37="",0,SUM('MaxPreTax IRA'!T$17:T51))</f>
        <v>1224953.0454934419</v>
      </c>
      <c r="G37" s="182">
        <f t="shared" si="0"/>
        <v>1769111.7818048988</v>
      </c>
      <c r="H37" s="264">
        <f>'MaxPreTax IRA'!B51</f>
        <v>0.30137920524691353</v>
      </c>
      <c r="I37" s="57"/>
      <c r="J37" s="57"/>
      <c r="K37" s="57"/>
      <c r="L37" s="57"/>
      <c r="M37" s="57"/>
      <c r="N37" s="57"/>
      <c r="O37" s="57"/>
      <c r="P37" s="57"/>
      <c r="Q37" s="59"/>
    </row>
    <row r="38" spans="1:17" x14ac:dyDescent="0.3">
      <c r="A38">
        <f>'MaxPreTax IRA'!E52</f>
        <v>66</v>
      </c>
      <c r="B38" s="56"/>
      <c r="C38" s="63" t="str">
        <f>'MaxPreTax IRA'!F52</f>
        <v/>
      </c>
      <c r="D38" s="182">
        <f>IF(C38="",0,SUM('MaxPreTax IRA'!N$17:N52))</f>
        <v>0</v>
      </c>
      <c r="E38" s="182">
        <f>IF(C38="",0,SUM('MaxPreTax IRA'!Q$17:Q52))</f>
        <v>0</v>
      </c>
      <c r="F38" s="182">
        <f>IF(C38="",0,SUM('MaxPreTax IRA'!T$17:T52))</f>
        <v>0</v>
      </c>
      <c r="G38" s="182">
        <f t="shared" si="0"/>
        <v>0</v>
      </c>
      <c r="H38" s="264">
        <f>'MaxPreTax IRA'!B52</f>
        <v>0</v>
      </c>
      <c r="I38" s="57"/>
      <c r="J38" s="57"/>
      <c r="K38" s="57"/>
      <c r="L38" s="57"/>
      <c r="M38" s="57"/>
      <c r="N38" s="57"/>
      <c r="O38" s="57"/>
      <c r="P38" s="57"/>
      <c r="Q38" s="59"/>
    </row>
    <row r="39" spans="1:17" x14ac:dyDescent="0.3">
      <c r="A39">
        <f>'MaxPreTax IRA'!E53</f>
        <v>67</v>
      </c>
      <c r="B39" s="56"/>
      <c r="C39" s="63" t="str">
        <f>'MaxPreTax IRA'!F53</f>
        <v/>
      </c>
      <c r="D39" s="182">
        <f>IF(C39="",0,SUM('MaxPreTax IRA'!N$17:N53))</f>
        <v>0</v>
      </c>
      <c r="E39" s="182">
        <f>IF(C39="",0,SUM('MaxPreTax IRA'!Q$17:Q53))</f>
        <v>0</v>
      </c>
      <c r="F39" s="182">
        <f>IF(C39="",0,SUM('MaxPreTax IRA'!T$17:T53))</f>
        <v>0</v>
      </c>
      <c r="G39" s="182">
        <f t="shared" si="0"/>
        <v>0</v>
      </c>
      <c r="H39" s="264">
        <f>'MaxPreTax IRA'!B53</f>
        <v>0</v>
      </c>
      <c r="I39" s="57"/>
      <c r="J39" s="57"/>
      <c r="K39" s="57"/>
      <c r="L39" s="57"/>
      <c r="M39" s="57"/>
      <c r="N39" s="57"/>
      <c r="O39" s="57"/>
      <c r="P39" s="57"/>
      <c r="Q39" s="59"/>
    </row>
    <row r="40" spans="1:17" x14ac:dyDescent="0.3">
      <c r="A40">
        <f>'MaxPreTax IRA'!E54</f>
        <v>68</v>
      </c>
      <c r="B40" s="56"/>
      <c r="C40" s="63" t="str">
        <f>'MaxPreTax IRA'!F54</f>
        <v/>
      </c>
      <c r="D40" s="182">
        <f>IF(C40="",0,SUM('MaxPreTax IRA'!N$17:N54))</f>
        <v>0</v>
      </c>
      <c r="E40" s="182">
        <f>IF(C40="",0,SUM('MaxPreTax IRA'!Q$17:Q54))</f>
        <v>0</v>
      </c>
      <c r="F40" s="182">
        <f>IF(C40="",0,SUM('MaxPreTax IRA'!T$17:T54))</f>
        <v>0</v>
      </c>
      <c r="G40" s="182">
        <f t="shared" si="0"/>
        <v>0</v>
      </c>
      <c r="H40" s="264">
        <f>'MaxPreTax IRA'!B54</f>
        <v>0</v>
      </c>
      <c r="I40" s="57"/>
      <c r="J40" s="57"/>
      <c r="K40" s="57"/>
      <c r="L40" s="57"/>
      <c r="M40" s="57"/>
      <c r="N40" s="57"/>
      <c r="O40" s="57"/>
      <c r="P40" s="57"/>
      <c r="Q40" s="59"/>
    </row>
    <row r="41" spans="1:17" x14ac:dyDescent="0.3">
      <c r="A41">
        <f>'MaxPreTax IRA'!E55</f>
        <v>69</v>
      </c>
      <c r="B41" s="56"/>
      <c r="C41" s="63" t="str">
        <f>'MaxPreTax IRA'!F55</f>
        <v/>
      </c>
      <c r="D41" s="182">
        <f>IF(C41="",0,SUM('MaxPreTax IRA'!N$17:N55))</f>
        <v>0</v>
      </c>
      <c r="E41" s="182">
        <f>IF(C41="",0,SUM('MaxPreTax IRA'!Q$17:Q55))</f>
        <v>0</v>
      </c>
      <c r="F41" s="182">
        <f>IF(C41="",0,SUM('MaxPreTax IRA'!T$17:T55))</f>
        <v>0</v>
      </c>
      <c r="G41" s="182">
        <f t="shared" si="0"/>
        <v>0</v>
      </c>
      <c r="H41" s="264">
        <f>'MaxPreTax IRA'!B55</f>
        <v>0</v>
      </c>
      <c r="I41" s="57"/>
      <c r="J41" s="57"/>
      <c r="K41" s="57"/>
      <c r="L41" s="57"/>
      <c r="M41" s="57"/>
      <c r="N41" s="57"/>
      <c r="O41" s="57"/>
      <c r="P41" s="57"/>
      <c r="Q41" s="59"/>
    </row>
    <row r="42" spans="1:17" x14ac:dyDescent="0.3">
      <c r="A42">
        <f>'MaxPreTax IRA'!E56</f>
        <v>70</v>
      </c>
      <c r="B42" s="56"/>
      <c r="C42" s="63" t="str">
        <f>'MaxPreTax IRA'!F56</f>
        <v/>
      </c>
      <c r="D42" s="182">
        <f>IF(C42="",0,SUM('MaxPreTax IRA'!N$17:N56))</f>
        <v>0</v>
      </c>
      <c r="E42" s="182">
        <f>IF(C42="",0,SUM('MaxPreTax IRA'!Q$17:Q56))</f>
        <v>0</v>
      </c>
      <c r="F42" s="182">
        <f>IF(C42="",0,SUM('MaxPreTax IRA'!T$17:T56))</f>
        <v>0</v>
      </c>
      <c r="G42" s="182">
        <f t="shared" si="0"/>
        <v>0</v>
      </c>
      <c r="H42" s="264">
        <f>'MaxPreTax IRA'!B56</f>
        <v>0</v>
      </c>
      <c r="I42" s="57"/>
      <c r="J42" s="57"/>
      <c r="K42" s="57"/>
      <c r="L42" s="57"/>
      <c r="M42" s="57"/>
      <c r="N42" s="57"/>
      <c r="O42" s="57"/>
      <c r="P42" s="57"/>
      <c r="Q42" s="59"/>
    </row>
    <row r="43" spans="1:17" x14ac:dyDescent="0.3">
      <c r="A43">
        <f>'MaxPreTax IRA'!E57</f>
        <v>71</v>
      </c>
      <c r="B43" s="56"/>
      <c r="C43" s="63" t="str">
        <f>'MaxPreTax IRA'!F57</f>
        <v/>
      </c>
      <c r="D43" s="182">
        <f>IF(C43="",0,SUM('MaxPreTax IRA'!N$17:N57))</f>
        <v>0</v>
      </c>
      <c r="E43" s="182">
        <f>IF(C43="",0,SUM('MaxPreTax IRA'!Q$17:Q57))</f>
        <v>0</v>
      </c>
      <c r="F43" s="182">
        <f>IF(C43="",0,SUM('MaxPreTax IRA'!T$17:T57))</f>
        <v>0</v>
      </c>
      <c r="G43" s="182">
        <f t="shared" si="0"/>
        <v>0</v>
      </c>
      <c r="H43" s="264">
        <f>'MaxPreTax IRA'!B57</f>
        <v>0</v>
      </c>
      <c r="I43" s="57"/>
      <c r="J43" s="57"/>
      <c r="K43" s="57"/>
      <c r="L43" s="57"/>
      <c r="M43" s="57"/>
      <c r="N43" s="57"/>
      <c r="O43" s="57"/>
      <c r="P43" s="57"/>
      <c r="Q43" s="59"/>
    </row>
    <row r="44" spans="1:17" x14ac:dyDescent="0.3">
      <c r="A44">
        <f>'MaxPreTax IRA'!E58</f>
        <v>72</v>
      </c>
      <c r="B44" s="56"/>
      <c r="C44" s="63" t="str">
        <f>'MaxPreTax IRA'!F58</f>
        <v/>
      </c>
      <c r="D44" s="182">
        <f>IF(C44="",0,SUM('MaxPreTax IRA'!N$17:N58))</f>
        <v>0</v>
      </c>
      <c r="E44" s="182">
        <f>IF(C44="",0,SUM('MaxPreTax IRA'!Q$17:Q58))</f>
        <v>0</v>
      </c>
      <c r="F44" s="182">
        <f>IF(C44="",0,SUM('MaxPreTax IRA'!T$17:T58))</f>
        <v>0</v>
      </c>
      <c r="G44" s="182">
        <f t="shared" si="0"/>
        <v>0</v>
      </c>
      <c r="H44" s="264">
        <f>'MaxPreTax IRA'!B58</f>
        <v>0</v>
      </c>
      <c r="I44" s="57"/>
      <c r="J44" s="57"/>
      <c r="K44" s="57"/>
      <c r="L44" s="57"/>
      <c r="M44" s="57"/>
      <c r="N44" s="57"/>
      <c r="O44" s="57"/>
      <c r="P44" s="57"/>
      <c r="Q44" s="59"/>
    </row>
    <row r="45" spans="1:17" x14ac:dyDescent="0.3">
      <c r="A45">
        <f>'MaxPreTax IRA'!E59</f>
        <v>73</v>
      </c>
      <c r="B45" s="56"/>
      <c r="C45" s="63" t="str">
        <f>'MaxPreTax IRA'!F59</f>
        <v/>
      </c>
      <c r="D45" s="182">
        <f>IF(C45="",0,SUM('MaxPreTax IRA'!N$17:N59))</f>
        <v>0</v>
      </c>
      <c r="E45" s="182">
        <f>IF(C45="",0,SUM('MaxPreTax IRA'!Q$17:Q59))</f>
        <v>0</v>
      </c>
      <c r="F45" s="182">
        <f>IF(C45="",0,SUM('MaxPreTax IRA'!T$17:T59))</f>
        <v>0</v>
      </c>
      <c r="G45" s="182">
        <f t="shared" si="0"/>
        <v>0</v>
      </c>
      <c r="H45" s="264">
        <f>'MaxPreTax IRA'!B59</f>
        <v>0</v>
      </c>
      <c r="I45" s="57"/>
      <c r="J45" s="57"/>
      <c r="K45" s="57"/>
      <c r="L45" s="57"/>
      <c r="M45" s="57"/>
      <c r="N45" s="57"/>
      <c r="O45" s="57"/>
      <c r="P45" s="57"/>
      <c r="Q45" s="59"/>
    </row>
    <row r="46" spans="1:17" x14ac:dyDescent="0.3">
      <c r="A46">
        <f>'MaxPreTax IRA'!E60</f>
        <v>74</v>
      </c>
      <c r="B46" s="56"/>
      <c r="C46" s="63" t="str">
        <f>'MaxPreTax IRA'!F60</f>
        <v/>
      </c>
      <c r="D46" s="182">
        <f>IF(C46="",0,SUM('MaxPreTax IRA'!N$17:N60))</f>
        <v>0</v>
      </c>
      <c r="E46" s="182">
        <f>IF(C46="",0,SUM('MaxPreTax IRA'!Q$17:Q60))</f>
        <v>0</v>
      </c>
      <c r="F46" s="182">
        <f>IF(C46="",0,SUM('MaxPreTax IRA'!T$17:T60))</f>
        <v>0</v>
      </c>
      <c r="G46" s="182">
        <f t="shared" si="0"/>
        <v>0</v>
      </c>
      <c r="H46" s="264">
        <f>'MaxPreTax IRA'!B60</f>
        <v>0</v>
      </c>
      <c r="I46" s="57"/>
      <c r="J46" s="57"/>
      <c r="K46" s="57"/>
      <c r="L46" s="57"/>
      <c r="M46" s="57"/>
      <c r="N46" s="57"/>
      <c r="O46" s="57"/>
      <c r="P46" s="57"/>
      <c r="Q46" s="59"/>
    </row>
    <row r="47" spans="1:17" x14ac:dyDescent="0.3">
      <c r="A47">
        <f>'MaxPreTax IRA'!E61</f>
        <v>75</v>
      </c>
      <c r="B47" s="56"/>
      <c r="C47" s="63" t="str">
        <f>'MaxPreTax IRA'!F61</f>
        <v/>
      </c>
      <c r="D47" s="182">
        <f>IF(C47="",0,SUM('MaxPreTax IRA'!N$17:N61))</f>
        <v>0</v>
      </c>
      <c r="E47" s="182">
        <f>IF(C47="",0,SUM('MaxPreTax IRA'!Q$17:Q61))</f>
        <v>0</v>
      </c>
      <c r="F47" s="182">
        <f>IF(C47="",0,SUM('MaxPreTax IRA'!T$17:T61))</f>
        <v>0</v>
      </c>
      <c r="G47" s="182">
        <f t="shared" si="0"/>
        <v>0</v>
      </c>
      <c r="H47" s="264">
        <f>'MaxPreTax IRA'!B61</f>
        <v>0</v>
      </c>
      <c r="I47" s="57"/>
      <c r="J47" s="57"/>
      <c r="K47" s="57"/>
      <c r="L47" s="57"/>
      <c r="M47" s="57"/>
      <c r="N47" s="57"/>
      <c r="O47" s="57"/>
      <c r="P47" s="57"/>
      <c r="Q47" s="59"/>
    </row>
    <row r="48" spans="1:17" x14ac:dyDescent="0.3">
      <c r="A48">
        <f>'MaxPreTax IRA'!E62</f>
        <v>76</v>
      </c>
      <c r="B48" s="56"/>
      <c r="C48" s="63" t="str">
        <f>'MaxPreTax IRA'!F62</f>
        <v/>
      </c>
      <c r="D48" s="182">
        <f>IF(C48="",0,SUM('MaxPreTax IRA'!N$17:N62))</f>
        <v>0</v>
      </c>
      <c r="E48" s="182">
        <f>IF(C48="",0,SUM('MaxPreTax IRA'!Q$17:Q62))</f>
        <v>0</v>
      </c>
      <c r="F48" s="182">
        <f>IF(C48="",0,SUM('MaxPreTax IRA'!T$17:T62))</f>
        <v>0</v>
      </c>
      <c r="G48" s="182">
        <f t="shared" si="0"/>
        <v>0</v>
      </c>
      <c r="H48" s="264">
        <f>'MaxPreTax IRA'!B62</f>
        <v>0</v>
      </c>
      <c r="I48" s="57"/>
      <c r="J48" s="57"/>
      <c r="K48" s="57"/>
      <c r="L48" s="57"/>
      <c r="M48" s="57"/>
      <c r="N48" s="57"/>
      <c r="O48" s="57"/>
      <c r="P48" s="57"/>
      <c r="Q48" s="59"/>
    </row>
    <row r="49" spans="1:17" x14ac:dyDescent="0.3">
      <c r="A49">
        <f>'MaxPreTax IRA'!E63</f>
        <v>77</v>
      </c>
      <c r="B49" s="56"/>
      <c r="C49" s="63" t="str">
        <f>'MaxPreTax IRA'!F63</f>
        <v/>
      </c>
      <c r="D49" s="182">
        <f>IF(C49="",0,SUM('MaxPreTax IRA'!N$17:N63))</f>
        <v>0</v>
      </c>
      <c r="E49" s="182">
        <f>IF(C49="",0,SUM('MaxPreTax IRA'!Q$17:Q63))</f>
        <v>0</v>
      </c>
      <c r="F49" s="182">
        <f>IF(C49="",0,SUM('MaxPreTax IRA'!T$17:T63))</f>
        <v>0</v>
      </c>
      <c r="G49" s="182">
        <f t="shared" si="0"/>
        <v>0</v>
      </c>
      <c r="H49" s="264">
        <f>'MaxPreTax IRA'!B63</f>
        <v>0</v>
      </c>
      <c r="I49" s="57"/>
      <c r="J49" s="57"/>
      <c r="K49" s="57"/>
      <c r="L49" s="57"/>
      <c r="M49" s="57"/>
      <c r="N49" s="57"/>
      <c r="O49" s="57"/>
      <c r="P49" s="57"/>
      <c r="Q49" s="59"/>
    </row>
    <row r="50" spans="1:17" x14ac:dyDescent="0.3">
      <c r="A50">
        <f>'MaxPreTax IRA'!E64</f>
        <v>78</v>
      </c>
      <c r="B50" s="56"/>
      <c r="C50" s="63" t="str">
        <f>'MaxPreTax IRA'!F64</f>
        <v/>
      </c>
      <c r="D50" s="182">
        <f>IF(C50="",0,SUM('MaxPreTax IRA'!N$17:N64))</f>
        <v>0</v>
      </c>
      <c r="E50" s="182">
        <f>IF(C50="",0,SUM('MaxPreTax IRA'!Q$17:Q64))</f>
        <v>0</v>
      </c>
      <c r="F50" s="182">
        <f>IF(C50="",0,SUM('MaxPreTax IRA'!T$17:T64))</f>
        <v>0</v>
      </c>
      <c r="G50" s="182">
        <f t="shared" si="0"/>
        <v>0</v>
      </c>
      <c r="H50" s="264">
        <f>'MaxPreTax IRA'!B64</f>
        <v>0</v>
      </c>
      <c r="I50" s="57"/>
      <c r="J50" s="57"/>
      <c r="K50" s="57"/>
      <c r="L50" s="57"/>
      <c r="M50" s="57"/>
      <c r="N50" s="57"/>
      <c r="O50" s="57"/>
      <c r="P50" s="57"/>
      <c r="Q50" s="59"/>
    </row>
    <row r="51" spans="1:17" x14ac:dyDescent="0.3">
      <c r="A51">
        <f>'MaxPreTax IRA'!E65</f>
        <v>79</v>
      </c>
      <c r="B51" s="56"/>
      <c r="C51" s="63" t="str">
        <f>'MaxPreTax IRA'!F65</f>
        <v/>
      </c>
      <c r="D51" s="182">
        <f>IF(C51="",0,SUM('MaxPreTax IRA'!N$17:N65))</f>
        <v>0</v>
      </c>
      <c r="E51" s="182">
        <f>IF(C51="",0,SUM('MaxPreTax IRA'!Q$17:Q65))</f>
        <v>0</v>
      </c>
      <c r="F51" s="182">
        <f>IF(C51="",0,SUM('MaxPreTax IRA'!T$17:T65))</f>
        <v>0</v>
      </c>
      <c r="G51" s="182">
        <f t="shared" si="0"/>
        <v>0</v>
      </c>
      <c r="H51" s="264">
        <f>'MaxPreTax IRA'!B65</f>
        <v>0</v>
      </c>
      <c r="I51" s="57"/>
      <c r="J51" s="57"/>
      <c r="K51" s="57"/>
      <c r="L51" s="57"/>
      <c r="M51" s="57"/>
      <c r="N51" s="57"/>
      <c r="O51" s="57"/>
      <c r="P51" s="57"/>
      <c r="Q51" s="59"/>
    </row>
    <row r="52" spans="1:17" x14ac:dyDescent="0.3">
      <c r="A52">
        <f>'MaxPreTax IRA'!E66</f>
        <v>80</v>
      </c>
      <c r="B52" s="56"/>
      <c r="C52" s="63" t="str">
        <f>'MaxPreTax IRA'!F66</f>
        <v/>
      </c>
      <c r="D52" s="182">
        <f>IF(C52="",0,SUM('MaxPreTax IRA'!N$17:N66))</f>
        <v>0</v>
      </c>
      <c r="E52" s="182">
        <f>IF(C52="",0,SUM('MaxPreTax IRA'!Q$17:Q66))</f>
        <v>0</v>
      </c>
      <c r="F52" s="182">
        <f>IF(C52="",0,SUM('MaxPreTax IRA'!T$17:T66))</f>
        <v>0</v>
      </c>
      <c r="G52" s="182">
        <f t="shared" si="0"/>
        <v>0</v>
      </c>
      <c r="H52" s="264">
        <f>'MaxPreTax IRA'!B66</f>
        <v>0</v>
      </c>
      <c r="I52" s="57"/>
      <c r="J52" s="57"/>
      <c r="K52" s="57"/>
      <c r="L52" s="57"/>
      <c r="M52" s="57"/>
      <c r="N52" s="57"/>
      <c r="O52" s="57"/>
      <c r="P52" s="57"/>
      <c r="Q52" s="59"/>
    </row>
    <row r="53" spans="1:17" x14ac:dyDescent="0.3">
      <c r="A53">
        <f>'MaxPreTax IRA'!E67</f>
        <v>81</v>
      </c>
      <c r="B53" s="56"/>
      <c r="C53" s="63" t="str">
        <f>'MaxPreTax IRA'!F67</f>
        <v/>
      </c>
      <c r="D53" s="182">
        <f>IF(C53="",0,SUM('MaxPreTax IRA'!N$17:N67))</f>
        <v>0</v>
      </c>
      <c r="E53" s="182">
        <f>IF(C53="",0,SUM('MaxPreTax IRA'!Q$17:Q67))</f>
        <v>0</v>
      </c>
      <c r="F53" s="182">
        <f>IF(C53="",0,SUM('MaxPreTax IRA'!T$17:T67))</f>
        <v>0</v>
      </c>
      <c r="G53" s="182">
        <f t="shared" si="0"/>
        <v>0</v>
      </c>
      <c r="H53" s="264">
        <f>'MaxPreTax IRA'!B67</f>
        <v>0</v>
      </c>
      <c r="I53" s="57"/>
      <c r="J53" s="57"/>
      <c r="K53" s="57"/>
      <c r="L53" s="57"/>
      <c r="M53" s="57"/>
      <c r="N53" s="57"/>
      <c r="O53" s="57"/>
      <c r="P53" s="57"/>
      <c r="Q53" s="59"/>
    </row>
    <row r="54" spans="1:17" x14ac:dyDescent="0.3">
      <c r="A54">
        <f>'MaxPreTax IRA'!E68</f>
        <v>82</v>
      </c>
      <c r="B54" s="56"/>
      <c r="C54" s="63" t="str">
        <f>'MaxPreTax IRA'!F68</f>
        <v/>
      </c>
      <c r="D54" s="182">
        <f>IF(C54="",0,SUM('MaxPreTax IRA'!N$17:N68))</f>
        <v>0</v>
      </c>
      <c r="E54" s="182">
        <f>IF(C54="",0,SUM('MaxPreTax IRA'!Q$17:Q68))</f>
        <v>0</v>
      </c>
      <c r="F54" s="182">
        <f>IF(C54="",0,SUM('MaxPreTax IRA'!T$17:T68))</f>
        <v>0</v>
      </c>
      <c r="G54" s="182">
        <f t="shared" si="0"/>
        <v>0</v>
      </c>
      <c r="H54" s="264">
        <f>'MaxPreTax IRA'!B68</f>
        <v>0</v>
      </c>
      <c r="I54" s="57"/>
      <c r="J54" s="57"/>
      <c r="K54" s="57"/>
      <c r="L54" s="57"/>
      <c r="M54" s="57"/>
      <c r="N54" s="57"/>
      <c r="O54" s="57"/>
      <c r="P54" s="57"/>
      <c r="Q54" s="59"/>
    </row>
    <row r="55" spans="1:17" x14ac:dyDescent="0.3">
      <c r="A55">
        <f>'MaxPreTax IRA'!E69</f>
        <v>83</v>
      </c>
      <c r="B55" s="56"/>
      <c r="C55" s="63" t="str">
        <f>'MaxPreTax IRA'!F69</f>
        <v/>
      </c>
      <c r="D55" s="182">
        <f>IF(C55="",0,SUM('MaxPreTax IRA'!N$17:N69))</f>
        <v>0</v>
      </c>
      <c r="E55" s="182">
        <f>IF(C55="",0,SUM('MaxPreTax IRA'!Q$17:Q69))</f>
        <v>0</v>
      </c>
      <c r="F55" s="182">
        <f>IF(C55="",0,SUM('MaxPreTax IRA'!T$17:T69))</f>
        <v>0</v>
      </c>
      <c r="G55" s="182">
        <f t="shared" si="0"/>
        <v>0</v>
      </c>
      <c r="H55" s="264">
        <f>'MaxPreTax IRA'!B69</f>
        <v>0</v>
      </c>
      <c r="I55" s="57"/>
      <c r="J55" s="57"/>
      <c r="K55" s="57"/>
      <c r="L55" s="57"/>
      <c r="M55" s="57"/>
      <c r="N55" s="57"/>
      <c r="O55" s="57"/>
      <c r="P55" s="57"/>
      <c r="Q55" s="59"/>
    </row>
    <row r="56" spans="1:17" x14ac:dyDescent="0.3">
      <c r="A56">
        <f>'MaxPreTax IRA'!E70</f>
        <v>84</v>
      </c>
      <c r="B56" s="56"/>
      <c r="C56" s="63" t="str">
        <f>'MaxPreTax IRA'!F70</f>
        <v/>
      </c>
      <c r="D56" s="182">
        <f>IF(C56="",0,SUM('MaxPreTax IRA'!N$17:N70))</f>
        <v>0</v>
      </c>
      <c r="E56" s="182">
        <f>IF(C56="",0,SUM('MaxPreTax IRA'!Q$17:Q70))</f>
        <v>0</v>
      </c>
      <c r="F56" s="182">
        <f>IF(C56="",0,SUM('MaxPreTax IRA'!T$17:T70))</f>
        <v>0</v>
      </c>
      <c r="G56" s="182">
        <f t="shared" si="0"/>
        <v>0</v>
      </c>
      <c r="H56" s="264">
        <f>'MaxPreTax IRA'!B70</f>
        <v>0</v>
      </c>
      <c r="I56" s="57"/>
      <c r="J56" s="57"/>
      <c r="K56" s="57"/>
      <c r="L56" s="57"/>
      <c r="M56" s="57"/>
      <c r="N56" s="57"/>
      <c r="O56" s="57"/>
      <c r="P56" s="57"/>
      <c r="Q56" s="59"/>
    </row>
    <row r="57" spans="1:17" x14ac:dyDescent="0.3">
      <c r="A57">
        <f>'MaxPreTax IRA'!E71</f>
        <v>85</v>
      </c>
      <c r="B57" s="56"/>
      <c r="C57" s="63" t="str">
        <f>'MaxPreTax IRA'!F71</f>
        <v/>
      </c>
      <c r="D57" s="182">
        <f>IF(C57="",0,SUM('MaxPreTax IRA'!N$17:N71))</f>
        <v>0</v>
      </c>
      <c r="E57" s="182">
        <f>IF(C57="",0,SUM('MaxPreTax IRA'!Q$17:Q71))</f>
        <v>0</v>
      </c>
      <c r="F57" s="182">
        <f>IF(C57="",0,SUM('MaxPreTax IRA'!T$17:T71))</f>
        <v>0</v>
      </c>
      <c r="G57" s="182">
        <f t="shared" si="0"/>
        <v>0</v>
      </c>
      <c r="H57" s="264">
        <f>'MaxPreTax IRA'!B71</f>
        <v>0</v>
      </c>
      <c r="I57" s="57"/>
      <c r="J57" s="57"/>
      <c r="K57" s="57"/>
      <c r="L57" s="57"/>
      <c r="M57" s="57"/>
      <c r="N57" s="57"/>
      <c r="O57" s="57"/>
      <c r="P57" s="57"/>
      <c r="Q57" s="59"/>
    </row>
    <row r="58" spans="1:17" x14ac:dyDescent="0.3">
      <c r="A58">
        <f>'MaxPreTax IRA'!E72</f>
        <v>86</v>
      </c>
      <c r="B58" s="56"/>
      <c r="C58" s="63" t="str">
        <f>'MaxPreTax IRA'!F72</f>
        <v/>
      </c>
      <c r="D58" s="182">
        <f>IF(C58="",0,SUM('MaxPreTax IRA'!N$17:N72))</f>
        <v>0</v>
      </c>
      <c r="E58" s="182">
        <f>IF(C58="",0,SUM('MaxPreTax IRA'!Q$17:Q72))</f>
        <v>0</v>
      </c>
      <c r="F58" s="182">
        <f>IF(C58="",0,SUM('MaxPreTax IRA'!T$17:T72))</f>
        <v>0</v>
      </c>
      <c r="G58" s="182">
        <f t="shared" si="0"/>
        <v>0</v>
      </c>
      <c r="H58" s="264">
        <f>'MaxPreTax IRA'!B72</f>
        <v>0</v>
      </c>
      <c r="I58" s="57"/>
      <c r="J58" s="57"/>
      <c r="K58" s="57"/>
      <c r="L58" s="57"/>
      <c r="M58" s="57"/>
      <c r="N58" s="57"/>
      <c r="O58" s="57"/>
      <c r="P58" s="57"/>
      <c r="Q58" s="59"/>
    </row>
    <row r="59" spans="1:17" x14ac:dyDescent="0.3">
      <c r="A59">
        <f>'MaxPreTax IRA'!E73</f>
        <v>87</v>
      </c>
      <c r="B59" s="56"/>
      <c r="C59" s="63" t="str">
        <f>'MaxPreTax IRA'!F73</f>
        <v/>
      </c>
      <c r="D59" s="182">
        <f>IF(C59="",0,SUM('MaxPreTax IRA'!N$17:N73))</f>
        <v>0</v>
      </c>
      <c r="E59" s="182">
        <f>IF(C59="",0,SUM('MaxPreTax IRA'!Q$17:Q73))</f>
        <v>0</v>
      </c>
      <c r="F59" s="182">
        <f>IF(C59="",0,SUM('MaxPreTax IRA'!T$17:T73))</f>
        <v>0</v>
      </c>
      <c r="G59" s="182">
        <f t="shared" si="0"/>
        <v>0</v>
      </c>
      <c r="H59" s="264">
        <f>'MaxPreTax IRA'!B73</f>
        <v>0</v>
      </c>
      <c r="I59" s="57"/>
      <c r="J59" s="57"/>
      <c r="K59" s="57"/>
      <c r="L59" s="57"/>
      <c r="M59" s="57"/>
      <c r="N59" s="57"/>
      <c r="O59" s="57"/>
      <c r="P59" s="57"/>
      <c r="Q59" s="59"/>
    </row>
    <row r="60" spans="1:17" x14ac:dyDescent="0.3">
      <c r="A60">
        <f>'MaxPreTax IRA'!E74</f>
        <v>88</v>
      </c>
      <c r="B60" s="56"/>
      <c r="C60" s="63" t="str">
        <f>'MaxPreTax IRA'!F74</f>
        <v/>
      </c>
      <c r="D60" s="182">
        <f>IF(C60="",0,SUM('MaxPreTax IRA'!N$17:N74))</f>
        <v>0</v>
      </c>
      <c r="E60" s="182">
        <f>IF(C60="",0,SUM('MaxPreTax IRA'!Q$17:Q74))</f>
        <v>0</v>
      </c>
      <c r="F60" s="182">
        <f>IF(C60="",0,SUM('MaxPreTax IRA'!T$17:T74))</f>
        <v>0</v>
      </c>
      <c r="G60" s="182">
        <f t="shared" si="0"/>
        <v>0</v>
      </c>
      <c r="H60" s="264">
        <f>'MaxPreTax IRA'!B74</f>
        <v>0</v>
      </c>
      <c r="I60" s="57"/>
      <c r="J60" s="57"/>
      <c r="K60" s="57"/>
      <c r="L60" s="57"/>
      <c r="M60" s="57"/>
      <c r="N60" s="57"/>
      <c r="O60" s="57"/>
      <c r="P60" s="57"/>
      <c r="Q60" s="59"/>
    </row>
    <row r="61" spans="1:17" x14ac:dyDescent="0.3">
      <c r="A61">
        <f>'MaxPreTax IRA'!E75</f>
        <v>89</v>
      </c>
      <c r="B61" s="56"/>
      <c r="C61" s="63" t="str">
        <f>'MaxPreTax IRA'!F75</f>
        <v/>
      </c>
      <c r="D61" s="182">
        <f>IF(C61="",0,SUM('MaxPreTax IRA'!N$17:N75))</f>
        <v>0</v>
      </c>
      <c r="E61" s="182">
        <f>IF(C61="",0,SUM('MaxPreTax IRA'!Q$17:Q75))</f>
        <v>0</v>
      </c>
      <c r="F61" s="182">
        <f>IF(C61="",0,SUM('MaxPreTax IRA'!T$17:T75))</f>
        <v>0</v>
      </c>
      <c r="G61" s="182">
        <f t="shared" si="0"/>
        <v>0</v>
      </c>
      <c r="H61" s="264">
        <f>'MaxPreTax IRA'!B75</f>
        <v>0</v>
      </c>
      <c r="I61" s="57"/>
      <c r="J61" s="57"/>
      <c r="K61" s="57"/>
      <c r="L61" s="57"/>
      <c r="M61" s="57"/>
      <c r="N61" s="57"/>
      <c r="O61" s="57"/>
      <c r="P61" s="57"/>
      <c r="Q61" s="59"/>
    </row>
    <row r="62" spans="1:17" x14ac:dyDescent="0.3">
      <c r="A62">
        <f>'MaxPreTax IRA'!E76</f>
        <v>90</v>
      </c>
      <c r="B62" s="56"/>
      <c r="C62" s="63" t="str">
        <f>'MaxPreTax IRA'!F76</f>
        <v/>
      </c>
      <c r="D62" s="182">
        <f>IF(C62="",0,SUM('MaxPreTax IRA'!N$17:N76))</f>
        <v>0</v>
      </c>
      <c r="E62" s="182">
        <f>IF(C62="",0,SUM('MaxPreTax IRA'!Q$17:Q76))</f>
        <v>0</v>
      </c>
      <c r="F62" s="182">
        <f>IF(C62="",0,SUM('MaxPreTax IRA'!T$17:T76))</f>
        <v>0</v>
      </c>
      <c r="G62" s="182">
        <f t="shared" si="0"/>
        <v>0</v>
      </c>
      <c r="H62" s="264">
        <f>'MaxPreTax IRA'!B76</f>
        <v>0</v>
      </c>
      <c r="I62" s="57"/>
      <c r="J62" s="57"/>
      <c r="K62" s="57"/>
      <c r="L62" s="57"/>
      <c r="M62" s="57"/>
      <c r="N62" s="57"/>
      <c r="O62" s="57"/>
      <c r="P62" s="57"/>
      <c r="Q62" s="59"/>
    </row>
    <row r="63" spans="1:17" ht="15" thickBot="1" x14ac:dyDescent="0.35">
      <c r="B63" s="60"/>
      <c r="C63" s="61"/>
      <c r="D63" s="183"/>
      <c r="E63" s="183"/>
      <c r="F63" s="183"/>
      <c r="G63" s="183"/>
      <c r="H63" s="61"/>
      <c r="I63" s="61"/>
      <c r="J63" s="61"/>
      <c r="K63" s="61"/>
      <c r="L63" s="61"/>
      <c r="M63" s="61"/>
      <c r="N63" s="61"/>
      <c r="O63" s="61"/>
      <c r="P63" s="61"/>
      <c r="Q63" s="62"/>
    </row>
    <row r="64" spans="1:17" ht="15" thickTop="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S53"/>
  <sheetViews>
    <sheetView showGridLines="0" topLeftCell="A4" zoomScale="80" zoomScaleNormal="80" workbookViewId="0">
      <selection activeCell="Z26" sqref="Z26"/>
    </sheetView>
  </sheetViews>
  <sheetFormatPr defaultRowHeight="13.8" x14ac:dyDescent="0.3"/>
  <cols>
    <col min="1" max="1" width="1.5546875" style="1" customWidth="1"/>
    <col min="2" max="2" width="4.5546875" style="1" customWidth="1"/>
    <col min="3" max="3" width="4" style="211" bestFit="1" customWidth="1"/>
    <col min="4" max="4" width="7.44140625" style="209" customWidth="1"/>
    <col min="5" max="5" width="2.109375" style="1" customWidth="1"/>
    <col min="6" max="6" width="6.88671875" style="1" bestFit="1" customWidth="1"/>
    <col min="7" max="7" width="8.77734375" style="225" customWidth="1"/>
    <col min="8" max="8" width="6.77734375" style="1" bestFit="1" customWidth="1"/>
    <col min="9" max="9" width="2.109375" style="1" customWidth="1"/>
    <col min="10" max="10" width="7.33203125" style="1" bestFit="1" customWidth="1"/>
    <col min="11" max="11" width="8.77734375" style="225" customWidth="1"/>
    <col min="12" max="12" width="7.109375" style="1" customWidth="1"/>
    <col min="13" max="13" width="1.88671875" style="1" customWidth="1"/>
    <col min="14" max="14" width="8.109375" style="1" customWidth="1"/>
    <col min="15" max="15" width="8.77734375" style="225" customWidth="1"/>
    <col min="16" max="16" width="7.33203125" style="1" bestFit="1" customWidth="1"/>
    <col min="17" max="17" width="1.44140625" style="1" customWidth="1"/>
    <col min="18" max="18" width="5.21875" style="1" customWidth="1"/>
    <col min="19" max="16384" width="8.88671875" style="1"/>
  </cols>
  <sheetData>
    <row r="1" spans="1:18" ht="28.8" x14ac:dyDescent="0.55000000000000004">
      <c r="G1" s="175" t="s">
        <v>122</v>
      </c>
    </row>
    <row r="2" spans="1:18" x14ac:dyDescent="0.3">
      <c r="C2" s="98" t="s">
        <v>135</v>
      </c>
      <c r="D2" s="208"/>
      <c r="F2" s="209"/>
      <c r="G2" s="1"/>
      <c r="H2" s="239" t="s">
        <v>35</v>
      </c>
      <c r="J2" s="227">
        <f>'MaxPreTax IRA'!InterestRate/100</f>
        <v>7.0000000000000007E-2</v>
      </c>
      <c r="K2" s="1"/>
      <c r="L2" s="239" t="s">
        <v>106</v>
      </c>
      <c r="N2" s="237">
        <f>'MaxPreTax IRA'!RetirementAge</f>
        <v>65</v>
      </c>
      <c r="O2" s="225" t="s">
        <v>149</v>
      </c>
      <c r="P2" s="265">
        <f>VLOOKUP(N2,MaxPreTaxCalculations!$A$3:$H$62,8,FALSE)</f>
        <v>0.30137920524691353</v>
      </c>
    </row>
    <row r="3" spans="1:18" s="234" customFormat="1" x14ac:dyDescent="0.3">
      <c r="C3" s="240"/>
      <c r="D3" s="235"/>
      <c r="F3" s="221"/>
      <c r="H3" s="236"/>
      <c r="J3" s="227"/>
      <c r="L3" s="262" t="s">
        <v>144</v>
      </c>
      <c r="N3" s="263">
        <f>VLOOKUP($N$2,'MaxPreTax IRA'!E17:M77,7,FALSE)/1000</f>
        <v>273.19052955063324</v>
      </c>
      <c r="O3" s="238" t="s">
        <v>146</v>
      </c>
      <c r="P3" s="263">
        <f>N3*(1-P2)</f>
        <v>190.85658487367996</v>
      </c>
    </row>
    <row r="4" spans="1:18" ht="14.4" thickBot="1" x14ac:dyDescent="0.35">
      <c r="A4" s="2"/>
      <c r="B4" s="208"/>
      <c r="D4" s="1"/>
      <c r="F4" s="226" t="s">
        <v>117</v>
      </c>
      <c r="G4" s="1"/>
      <c r="H4" s="227"/>
    </row>
    <row r="5" spans="1:18" ht="14.4" customHeight="1" thickBot="1" x14ac:dyDescent="0.35">
      <c r="D5" s="210" t="s">
        <v>67</v>
      </c>
      <c r="F5" s="366" t="s">
        <v>71</v>
      </c>
      <c r="G5" s="367"/>
      <c r="H5" s="368"/>
      <c r="J5" s="369" t="s">
        <v>72</v>
      </c>
      <c r="K5" s="370"/>
      <c r="L5" s="371"/>
      <c r="N5" s="369" t="s">
        <v>74</v>
      </c>
      <c r="O5" s="370"/>
      <c r="P5" s="371"/>
      <c r="R5" s="372" t="s">
        <v>150</v>
      </c>
    </row>
    <row r="6" spans="1:18" ht="28.2" thickBot="1" x14ac:dyDescent="0.35">
      <c r="C6" s="241" t="s">
        <v>63</v>
      </c>
      <c r="D6" s="133" t="s">
        <v>64</v>
      </c>
      <c r="F6" s="251" t="s">
        <v>107</v>
      </c>
      <c r="G6" s="228" t="s">
        <v>73</v>
      </c>
      <c r="H6" s="252" t="s">
        <v>108</v>
      </c>
      <c r="J6" s="251" t="s">
        <v>107</v>
      </c>
      <c r="K6" s="228" t="s">
        <v>73</v>
      </c>
      <c r="L6" s="252" t="s">
        <v>108</v>
      </c>
      <c r="N6" s="251" t="s">
        <v>107</v>
      </c>
      <c r="O6" s="228" t="s">
        <v>73</v>
      </c>
      <c r="P6" s="252" t="s">
        <v>108</v>
      </c>
      <c r="R6" s="372"/>
    </row>
    <row r="7" spans="1:18" x14ac:dyDescent="0.3">
      <c r="C7" s="211">
        <f t="shared" ref="C7:C15" si="0">C8-1</f>
        <v>55</v>
      </c>
      <c r="D7" s="212">
        <f>90-C7</f>
        <v>35</v>
      </c>
      <c r="F7" s="229"/>
      <c r="G7" s="243"/>
      <c r="H7" s="231"/>
      <c r="J7" s="229"/>
      <c r="K7" s="230"/>
      <c r="L7" s="231"/>
      <c r="N7" s="229"/>
      <c r="O7" s="230"/>
      <c r="P7" s="231"/>
    </row>
    <row r="8" spans="1:18" x14ac:dyDescent="0.3">
      <c r="C8" s="211">
        <f t="shared" si="0"/>
        <v>56</v>
      </c>
      <c r="D8" s="212">
        <f>D7-0.5</f>
        <v>34.5</v>
      </c>
      <c r="F8" s="139">
        <f>VLOOKUP($C7,'MaxPreTax IRA'!$E$17:$Y$77,19,FALSE)/1000</f>
        <v>750.07230985545971</v>
      </c>
      <c r="G8" s="244">
        <f>IF(C8&gt;59,F8/D8,0)</f>
        <v>0</v>
      </c>
      <c r="H8" s="245">
        <f t="shared" ref="H8:H53" si="1">(F8-G8)*(1+$J$2)</f>
        <v>802.57737154534198</v>
      </c>
      <c r="J8" s="144"/>
      <c r="K8" s="191"/>
      <c r="L8" s="145"/>
      <c r="N8" s="144"/>
      <c r="O8" s="191"/>
      <c r="P8" s="145"/>
    </row>
    <row r="9" spans="1:18" x14ac:dyDescent="0.3">
      <c r="C9" s="211">
        <f t="shared" si="0"/>
        <v>57</v>
      </c>
      <c r="D9" s="212">
        <f t="shared" ref="D9:D20" si="2">D8-0.5</f>
        <v>34</v>
      </c>
      <c r="F9" s="141">
        <f>H8</f>
        <v>802.57737154534198</v>
      </c>
      <c r="G9" s="244">
        <f>IF(C9&gt;59,F9/D9,0)</f>
        <v>0</v>
      </c>
      <c r="H9" s="245">
        <f t="shared" si="1"/>
        <v>858.75778755351598</v>
      </c>
      <c r="J9" s="144"/>
      <c r="K9" s="230" t="str">
        <f>IF($N$2=60,"Use this model","")</f>
        <v/>
      </c>
      <c r="L9" s="145"/>
      <c r="N9" s="144"/>
      <c r="O9" s="191"/>
      <c r="P9" s="145"/>
    </row>
    <row r="10" spans="1:18" x14ac:dyDescent="0.3">
      <c r="C10" s="211">
        <f t="shared" si="0"/>
        <v>58</v>
      </c>
      <c r="D10" s="212">
        <f t="shared" si="2"/>
        <v>33.5</v>
      </c>
      <c r="F10" s="141">
        <f t="shared" ref="F10:F25" si="3">H9</f>
        <v>858.75778755351598</v>
      </c>
      <c r="G10" s="244">
        <f>IF(C10&gt;59,F10/D10,0)</f>
        <v>0</v>
      </c>
      <c r="H10" s="245">
        <f t="shared" si="1"/>
        <v>918.87083268226218</v>
      </c>
      <c r="J10" s="144"/>
      <c r="K10" s="191"/>
      <c r="L10" s="145"/>
      <c r="N10" s="144"/>
      <c r="O10" s="230" t="str">
        <f>IF($N$2=65,"Use this model","")</f>
        <v>Use this model</v>
      </c>
      <c r="P10" s="145"/>
    </row>
    <row r="11" spans="1:18" x14ac:dyDescent="0.3">
      <c r="C11" s="213">
        <f t="shared" si="0"/>
        <v>59</v>
      </c>
      <c r="D11" s="212">
        <f t="shared" si="2"/>
        <v>33</v>
      </c>
      <c r="F11" s="141">
        <f t="shared" si="3"/>
        <v>918.87083268226218</v>
      </c>
      <c r="G11" s="244">
        <f>IF(C11&gt;59,F11/D11,0)</f>
        <v>0</v>
      </c>
      <c r="H11" s="245">
        <f t="shared" si="1"/>
        <v>983.19179097002063</v>
      </c>
      <c r="J11" s="144"/>
      <c r="K11" s="191"/>
      <c r="L11" s="145"/>
      <c r="N11" s="144"/>
      <c r="O11" s="191"/>
      <c r="P11" s="145"/>
    </row>
    <row r="12" spans="1:18" x14ac:dyDescent="0.3">
      <c r="C12" s="211">
        <f t="shared" si="0"/>
        <v>60</v>
      </c>
      <c r="D12" s="212">
        <f t="shared" si="2"/>
        <v>32.5</v>
      </c>
      <c r="F12" s="141">
        <f t="shared" si="3"/>
        <v>983.19179097002063</v>
      </c>
      <c r="G12" s="242">
        <f>IF($C12&gt;59,F12/$D12,0)</f>
        <v>30.252055106769866</v>
      </c>
      <c r="H12" s="140">
        <f t="shared" si="1"/>
        <v>1019.6455173736784</v>
      </c>
      <c r="J12" s="146"/>
      <c r="K12" s="193"/>
      <c r="L12" s="147"/>
      <c r="N12" s="148"/>
      <c r="O12" s="191"/>
      <c r="P12" s="145"/>
      <c r="R12" s="266" t="str">
        <f>IF($N$2=55,VLOOKUP(G12*1000,IRS!$H$4:$L$10,5),"")</f>
        <v/>
      </c>
    </row>
    <row r="13" spans="1:18" x14ac:dyDescent="0.3">
      <c r="C13" s="211">
        <f t="shared" si="0"/>
        <v>61</v>
      </c>
      <c r="D13" s="212">
        <f t="shared" si="2"/>
        <v>32</v>
      </c>
      <c r="F13" s="141">
        <f t="shared" si="3"/>
        <v>1019.6455173736784</v>
      </c>
      <c r="G13" s="189">
        <f t="shared" ref="G13:G53" si="4">IF(C13&gt;59,F13/D13,0)</f>
        <v>31.863922417927451</v>
      </c>
      <c r="H13" s="140">
        <f t="shared" si="1"/>
        <v>1056.9263066026535</v>
      </c>
      <c r="J13" s="139">
        <f>VLOOKUP($C12,'MaxPreTax IRA'!$E$17:$Y$77,19,FALSE)/1000</f>
        <v>1166.6233285812959</v>
      </c>
      <c r="K13" s="192">
        <f>IF($C13&gt;59,J13/$D13,0)</f>
        <v>36.456979018165498</v>
      </c>
      <c r="L13" s="140">
        <f t="shared" ref="L13:L53" si="5">(J13-K13)*(1+$J$2)</f>
        <v>1209.2779940325497</v>
      </c>
      <c r="N13" s="144"/>
      <c r="O13" s="191"/>
      <c r="P13" s="145"/>
      <c r="R13" s="266" t="str">
        <f>IF($N$2=60,VLOOKUP(K13*1000,IRS!$H$4:$L$10,5),"")</f>
        <v/>
      </c>
    </row>
    <row r="14" spans="1:18" x14ac:dyDescent="0.3">
      <c r="C14" s="211">
        <f t="shared" si="0"/>
        <v>62</v>
      </c>
      <c r="D14" s="212">
        <f t="shared" si="2"/>
        <v>31.5</v>
      </c>
      <c r="F14" s="141">
        <f t="shared" si="3"/>
        <v>1056.9263066026535</v>
      </c>
      <c r="G14" s="189">
        <f t="shared" si="4"/>
        <v>33.553216082623919</v>
      </c>
      <c r="H14" s="140">
        <f t="shared" si="1"/>
        <v>1095.0092068564318</v>
      </c>
      <c r="J14" s="141">
        <f t="shared" ref="J14:J53" si="6">L13</f>
        <v>1209.2779940325497</v>
      </c>
      <c r="K14" s="194">
        <f t="shared" ref="K14:K53" si="7">IF($C14&gt;59,J14/$D14,0)</f>
        <v>38.389777588334908</v>
      </c>
      <c r="L14" s="140">
        <f t="shared" si="5"/>
        <v>1252.8503915953099</v>
      </c>
      <c r="N14" s="144"/>
      <c r="O14" s="191"/>
      <c r="P14" s="145"/>
    </row>
    <row r="15" spans="1:18" x14ac:dyDescent="0.3">
      <c r="C15" s="211">
        <f t="shared" si="0"/>
        <v>63</v>
      </c>
      <c r="D15" s="212">
        <f t="shared" si="2"/>
        <v>31</v>
      </c>
      <c r="F15" s="141">
        <f t="shared" si="3"/>
        <v>1095.0092068564318</v>
      </c>
      <c r="G15" s="189">
        <f t="shared" si="4"/>
        <v>35.322877640530059</v>
      </c>
      <c r="H15" s="140">
        <f t="shared" si="1"/>
        <v>1133.8643722610148</v>
      </c>
      <c r="J15" s="141">
        <f t="shared" si="6"/>
        <v>1252.8503915953099</v>
      </c>
      <c r="K15" s="194">
        <f t="shared" si="7"/>
        <v>40.414528761139032</v>
      </c>
      <c r="L15" s="140">
        <f t="shared" si="5"/>
        <v>1297.3063732325629</v>
      </c>
      <c r="N15" s="144"/>
      <c r="O15" s="191"/>
      <c r="P15" s="145"/>
    </row>
    <row r="16" spans="1:18" x14ac:dyDescent="0.3">
      <c r="C16" s="211">
        <f t="shared" ref="C16:C21" si="8">C17-1</f>
        <v>64</v>
      </c>
      <c r="D16" s="212">
        <f t="shared" si="2"/>
        <v>30.5</v>
      </c>
      <c r="F16" s="141">
        <f t="shared" si="3"/>
        <v>1133.8643722610148</v>
      </c>
      <c r="G16" s="189">
        <f t="shared" si="4"/>
        <v>37.175881057738188</v>
      </c>
      <c r="H16" s="140">
        <f t="shared" si="1"/>
        <v>1173.4566855875059</v>
      </c>
      <c r="J16" s="141">
        <f t="shared" si="6"/>
        <v>1297.3063732325629</v>
      </c>
      <c r="K16" s="194">
        <f t="shared" si="7"/>
        <v>42.53463518795288</v>
      </c>
      <c r="L16" s="140">
        <f t="shared" si="5"/>
        <v>1342.6057597077327</v>
      </c>
      <c r="N16" s="144"/>
      <c r="O16" s="191"/>
      <c r="P16" s="145"/>
    </row>
    <row r="17" spans="2:19" x14ac:dyDescent="0.3">
      <c r="C17" s="211">
        <f t="shared" si="8"/>
        <v>65</v>
      </c>
      <c r="D17" s="212">
        <f t="shared" si="2"/>
        <v>30</v>
      </c>
      <c r="F17" s="141">
        <f t="shared" si="3"/>
        <v>1173.4566855875059</v>
      </c>
      <c r="G17" s="189">
        <f t="shared" si="4"/>
        <v>39.115222852916865</v>
      </c>
      <c r="H17" s="140">
        <f t="shared" si="1"/>
        <v>1213.7453651260105</v>
      </c>
      <c r="J17" s="141">
        <f t="shared" si="6"/>
        <v>1342.6057597077327</v>
      </c>
      <c r="K17" s="194">
        <f t="shared" si="7"/>
        <v>44.753525323591091</v>
      </c>
      <c r="L17" s="140">
        <f t="shared" si="5"/>
        <v>1388.7018907910317</v>
      </c>
      <c r="N17" s="148"/>
      <c r="O17" s="191"/>
      <c r="P17" s="145"/>
    </row>
    <row r="18" spans="2:19" x14ac:dyDescent="0.3">
      <c r="C18" s="211">
        <f t="shared" si="8"/>
        <v>66</v>
      </c>
      <c r="D18" s="212">
        <f t="shared" si="2"/>
        <v>29.5</v>
      </c>
      <c r="F18" s="141">
        <f t="shared" si="3"/>
        <v>1213.7453651260105</v>
      </c>
      <c r="G18" s="189">
        <f t="shared" si="4"/>
        <v>41.143910682237646</v>
      </c>
      <c r="H18" s="140">
        <f t="shared" si="1"/>
        <v>1254.683556254837</v>
      </c>
      <c r="J18" s="141">
        <f t="shared" si="6"/>
        <v>1388.7018907910317</v>
      </c>
      <c r="K18" s="194">
        <f t="shared" si="7"/>
        <v>47.074640365797684</v>
      </c>
      <c r="L18" s="140">
        <f t="shared" si="5"/>
        <v>1435.5411579550005</v>
      </c>
      <c r="N18" s="139">
        <f>VLOOKUP($C17,'MaxPreTax IRA'!$E$17:$Y$77,19,FALSE)/1000</f>
        <v>1769.111781804899</v>
      </c>
      <c r="O18" s="192">
        <f>IF($C18&gt;59,N18/$D18,0)</f>
        <v>59.969890908640643</v>
      </c>
      <c r="P18" s="140">
        <f t="shared" ref="P18:P53" si="9">(N18-O18)*(1+$J$2)</f>
        <v>1828.7818232589966</v>
      </c>
      <c r="R18" s="267">
        <f>IF($N$2=65,VLOOKUP(O18*1000,IRS!$H$4:$L$10,5),"")</f>
        <v>0.17077520286228748</v>
      </c>
    </row>
    <row r="19" spans="2:19" x14ac:dyDescent="0.3">
      <c r="C19" s="211">
        <f t="shared" si="8"/>
        <v>67</v>
      </c>
      <c r="D19" s="212">
        <f t="shared" si="2"/>
        <v>29</v>
      </c>
      <c r="F19" s="141">
        <f t="shared" si="3"/>
        <v>1254.683556254837</v>
      </c>
      <c r="G19" s="189">
        <f t="shared" si="4"/>
        <v>43.264950215684031</v>
      </c>
      <c r="H19" s="140">
        <f t="shared" si="1"/>
        <v>1296.2179084618938</v>
      </c>
      <c r="J19" s="141">
        <f t="shared" si="6"/>
        <v>1435.5411579550005</v>
      </c>
      <c r="K19" s="194">
        <f t="shared" si="7"/>
        <v>49.501419239827605</v>
      </c>
      <c r="L19" s="140">
        <f t="shared" si="5"/>
        <v>1483.0625204252351</v>
      </c>
      <c r="N19" s="141">
        <f t="shared" ref="N19:N53" si="10">P18</f>
        <v>1828.7818232589966</v>
      </c>
      <c r="O19" s="194">
        <f>IF($C19&gt;59,N19/$D19,0)</f>
        <v>63.061442181344709</v>
      </c>
      <c r="P19" s="140">
        <f t="shared" si="9"/>
        <v>1889.3208077530876</v>
      </c>
    </row>
    <row r="20" spans="2:19" x14ac:dyDescent="0.3">
      <c r="C20" s="211">
        <f t="shared" si="8"/>
        <v>68</v>
      </c>
      <c r="D20" s="212">
        <f t="shared" si="2"/>
        <v>28.5</v>
      </c>
      <c r="F20" s="141">
        <f t="shared" si="3"/>
        <v>1296.2179084618938</v>
      </c>
      <c r="G20" s="189">
        <f t="shared" si="4"/>
        <v>45.481330121469959</v>
      </c>
      <c r="H20" s="140">
        <f t="shared" si="1"/>
        <v>1338.2881388242536</v>
      </c>
      <c r="J20" s="141">
        <f t="shared" si="6"/>
        <v>1483.0625204252351</v>
      </c>
      <c r="K20" s="194">
        <f t="shared" si="7"/>
        <v>52.037281418429302</v>
      </c>
      <c r="L20" s="140">
        <f t="shared" si="5"/>
        <v>1531.1970057372823</v>
      </c>
      <c r="N20" s="141">
        <f t="shared" si="10"/>
        <v>1889.3208077530876</v>
      </c>
      <c r="O20" s="194">
        <f t="shared" ref="O20:O53" si="11">IF($C20&gt;59,N20/$D20,0)</f>
        <v>66.291958166775004</v>
      </c>
      <c r="P20" s="140">
        <f t="shared" si="9"/>
        <v>1950.6408690573546</v>
      </c>
    </row>
    <row r="21" spans="2:19" x14ac:dyDescent="0.3">
      <c r="C21" s="211">
        <f t="shared" si="8"/>
        <v>69</v>
      </c>
      <c r="D21" s="212">
        <f>97-C21</f>
        <v>28</v>
      </c>
      <c r="F21" s="141">
        <f t="shared" si="3"/>
        <v>1338.2881388242536</v>
      </c>
      <c r="G21" s="189">
        <f t="shared" si="4"/>
        <v>47.796004958009057</v>
      </c>
      <c r="H21" s="140">
        <f t="shared" si="1"/>
        <v>1380.8265832368818</v>
      </c>
      <c r="J21" s="141">
        <f t="shared" si="6"/>
        <v>1531.1970057372823</v>
      </c>
      <c r="K21" s="194">
        <f t="shared" si="7"/>
        <v>54.685607347760083</v>
      </c>
      <c r="L21" s="140">
        <f t="shared" si="5"/>
        <v>1579.8671962767887</v>
      </c>
      <c r="N21" s="141">
        <f t="shared" si="10"/>
        <v>1950.6408690573546</v>
      </c>
      <c r="O21" s="194">
        <f t="shared" si="11"/>
        <v>69.665745323476955</v>
      </c>
      <c r="P21" s="140">
        <f t="shared" si="9"/>
        <v>2012.6433823952491</v>
      </c>
    </row>
    <row r="22" spans="2:19" x14ac:dyDescent="0.3">
      <c r="C22" s="211">
        <v>70</v>
      </c>
      <c r="D22" s="209">
        <v>27.4</v>
      </c>
      <c r="F22" s="141">
        <f t="shared" si="3"/>
        <v>1380.8265832368818</v>
      </c>
      <c r="G22" s="189">
        <f t="shared" si="4"/>
        <v>50.395130775068679</v>
      </c>
      <c r="H22" s="140">
        <f t="shared" si="1"/>
        <v>1423.5616541341401</v>
      </c>
      <c r="J22" s="141">
        <f t="shared" si="6"/>
        <v>1579.8671962767887</v>
      </c>
      <c r="K22" s="194">
        <f t="shared" si="7"/>
        <v>57.659386725430245</v>
      </c>
      <c r="L22" s="140">
        <f t="shared" si="5"/>
        <v>1628.7623562199535</v>
      </c>
      <c r="N22" s="141">
        <f t="shared" si="10"/>
        <v>2012.6433823952491</v>
      </c>
      <c r="O22" s="194">
        <f t="shared" si="11"/>
        <v>73.454138043622237</v>
      </c>
      <c r="P22" s="140">
        <f t="shared" si="9"/>
        <v>2074.9324914562408</v>
      </c>
    </row>
    <row r="23" spans="2:19" x14ac:dyDescent="0.3">
      <c r="C23" s="211">
        <f>C22+1</f>
        <v>71</v>
      </c>
      <c r="D23" s="209">
        <v>26.5</v>
      </c>
      <c r="F23" s="141">
        <f t="shared" si="3"/>
        <v>1423.5616541341401</v>
      </c>
      <c r="G23" s="189">
        <f t="shared" si="4"/>
        <v>53.719307703175097</v>
      </c>
      <c r="H23" s="140">
        <f t="shared" si="1"/>
        <v>1465.7313106811328</v>
      </c>
      <c r="J23" s="141">
        <f t="shared" si="6"/>
        <v>1628.7623562199535</v>
      </c>
      <c r="K23" s="194">
        <f t="shared" si="7"/>
        <v>61.462730423394476</v>
      </c>
      <c r="L23" s="140">
        <f t="shared" si="5"/>
        <v>1677.0105996023183</v>
      </c>
      <c r="N23" s="141">
        <f t="shared" si="10"/>
        <v>2074.9324914562408</v>
      </c>
      <c r="O23" s="194">
        <f t="shared" si="11"/>
        <v>78.299339300235502</v>
      </c>
      <c r="P23" s="140">
        <f t="shared" si="9"/>
        <v>2136.3974728069256</v>
      </c>
    </row>
    <row r="24" spans="2:19" x14ac:dyDescent="0.3">
      <c r="B24" s="232" t="s">
        <v>70</v>
      </c>
      <c r="C24" s="213">
        <f t="shared" ref="C24:C53" si="12">C23+1</f>
        <v>72</v>
      </c>
      <c r="D24" s="214">
        <v>25.6</v>
      </c>
      <c r="E24" s="232"/>
      <c r="F24" s="142">
        <f t="shared" si="3"/>
        <v>1465.7313106811328</v>
      </c>
      <c r="G24" s="220">
        <f t="shared" si="4"/>
        <v>57.255129323481746</v>
      </c>
      <c r="H24" s="143">
        <f t="shared" si="1"/>
        <v>1507.0695140526868</v>
      </c>
      <c r="I24" s="232"/>
      <c r="J24" s="142">
        <f t="shared" si="6"/>
        <v>1677.0105996023183</v>
      </c>
      <c r="K24" s="233">
        <f t="shared" si="7"/>
        <v>65.50822654696556</v>
      </c>
      <c r="L24" s="143">
        <f t="shared" si="5"/>
        <v>1724.3075391692275</v>
      </c>
      <c r="M24" s="232"/>
      <c r="N24" s="142">
        <f t="shared" si="10"/>
        <v>2136.3974728069256</v>
      </c>
      <c r="O24" s="233">
        <f t="shared" si="11"/>
        <v>83.453026281520522</v>
      </c>
      <c r="P24" s="143">
        <f t="shared" si="9"/>
        <v>2196.6505577821836</v>
      </c>
      <c r="R24" s="267">
        <f>IF($N$2=65,VLOOKUP(O24*1000,IRS!$H$4:$L$10,5),"")</f>
        <v>0.17077520286228748</v>
      </c>
    </row>
    <row r="25" spans="2:19" x14ac:dyDescent="0.3">
      <c r="C25" s="211">
        <f t="shared" si="12"/>
        <v>73</v>
      </c>
      <c r="D25" s="209">
        <v>24.7</v>
      </c>
      <c r="F25" s="141">
        <f t="shared" si="3"/>
        <v>1507.0695140526868</v>
      </c>
      <c r="G25" s="189">
        <f t="shared" si="4"/>
        <v>61.014960083104732</v>
      </c>
      <c r="H25" s="140">
        <f t="shared" si="1"/>
        <v>1547.2783727474527</v>
      </c>
      <c r="J25" s="141">
        <f t="shared" si="6"/>
        <v>1724.3075391692275</v>
      </c>
      <c r="K25" s="194">
        <f t="shared" si="7"/>
        <v>69.810021828713673</v>
      </c>
      <c r="L25" s="140">
        <f t="shared" si="5"/>
        <v>1770.31234355435</v>
      </c>
      <c r="N25" s="141">
        <f t="shared" si="10"/>
        <v>2196.6505577821836</v>
      </c>
      <c r="O25" s="194">
        <f t="shared" si="11"/>
        <v>88.933220962841446</v>
      </c>
      <c r="P25" s="140">
        <f t="shared" si="9"/>
        <v>2255.2575503966964</v>
      </c>
    </row>
    <row r="26" spans="2:19" x14ac:dyDescent="0.3">
      <c r="C26" s="211">
        <f t="shared" si="12"/>
        <v>74</v>
      </c>
      <c r="D26" s="209">
        <v>23.8</v>
      </c>
      <c r="F26" s="141">
        <f t="shared" ref="F26:F53" si="13">H25</f>
        <v>1547.2783727474527</v>
      </c>
      <c r="G26" s="189">
        <f t="shared" si="4"/>
        <v>65.011696333926579</v>
      </c>
      <c r="H26" s="140">
        <f t="shared" si="1"/>
        <v>1586.0253437624731</v>
      </c>
      <c r="J26" s="141">
        <f t="shared" si="6"/>
        <v>1770.31234355435</v>
      </c>
      <c r="K26" s="194">
        <f t="shared" si="7"/>
        <v>74.382871577913861</v>
      </c>
      <c r="L26" s="140">
        <f t="shared" si="5"/>
        <v>1814.6445350147867</v>
      </c>
      <c r="N26" s="141">
        <f t="shared" si="10"/>
        <v>2255.2575503966964</v>
      </c>
      <c r="O26" s="194">
        <f t="shared" si="11"/>
        <v>94.758720604903203</v>
      </c>
      <c r="P26" s="140">
        <f t="shared" si="9"/>
        <v>2311.7337478772188</v>
      </c>
    </row>
    <row r="27" spans="2:19" x14ac:dyDescent="0.3">
      <c r="C27" s="211">
        <f t="shared" si="12"/>
        <v>75</v>
      </c>
      <c r="D27" s="209">
        <v>22.9</v>
      </c>
      <c r="F27" s="141">
        <f t="shared" si="13"/>
        <v>1586.0253437624731</v>
      </c>
      <c r="G27" s="189">
        <f t="shared" si="4"/>
        <v>69.258748635915865</v>
      </c>
      <c r="H27" s="140">
        <f t="shared" si="1"/>
        <v>1622.9402567854163</v>
      </c>
      <c r="J27" s="141">
        <f t="shared" si="6"/>
        <v>1814.6445350147867</v>
      </c>
      <c r="K27" s="194">
        <f t="shared" si="7"/>
        <v>79.242119432960124</v>
      </c>
      <c r="L27" s="140">
        <f t="shared" si="5"/>
        <v>1856.8805846725545</v>
      </c>
      <c r="N27" s="141">
        <f t="shared" si="10"/>
        <v>2311.7337478772188</v>
      </c>
      <c r="O27" s="194">
        <f t="shared" si="11"/>
        <v>100.94907195970389</v>
      </c>
      <c r="P27" s="140">
        <f t="shared" si="9"/>
        <v>2365.5396032317412</v>
      </c>
    </row>
    <row r="28" spans="2:19" x14ac:dyDescent="0.3">
      <c r="C28" s="211">
        <f t="shared" si="12"/>
        <v>76</v>
      </c>
      <c r="D28" s="209">
        <v>22</v>
      </c>
      <c r="F28" s="141">
        <f t="shared" si="13"/>
        <v>1622.9402567854163</v>
      </c>
      <c r="G28" s="189">
        <f t="shared" si="4"/>
        <v>73.770011672064371</v>
      </c>
      <c r="H28" s="140">
        <f t="shared" si="1"/>
        <v>1657.6121622712867</v>
      </c>
      <c r="J28" s="141">
        <f t="shared" si="6"/>
        <v>1856.8805846725545</v>
      </c>
      <c r="K28" s="194">
        <f t="shared" si="7"/>
        <v>84.403662939661572</v>
      </c>
      <c r="L28" s="140">
        <f t="shared" si="5"/>
        <v>1896.5503062541954</v>
      </c>
      <c r="N28" s="141">
        <f t="shared" si="10"/>
        <v>2365.5396032317412</v>
      </c>
      <c r="O28" s="194">
        <f t="shared" si="11"/>
        <v>107.5245274196246</v>
      </c>
      <c r="P28" s="140">
        <f t="shared" si="9"/>
        <v>2416.0761311189649</v>
      </c>
    </row>
    <row r="29" spans="2:19" x14ac:dyDescent="0.3">
      <c r="C29" s="211">
        <f t="shared" si="12"/>
        <v>77</v>
      </c>
      <c r="D29" s="209">
        <v>21.2</v>
      </c>
      <c r="F29" s="141">
        <f t="shared" si="13"/>
        <v>1657.6121622712867</v>
      </c>
      <c r="G29" s="189">
        <f t="shared" si="4"/>
        <v>78.189252937324852</v>
      </c>
      <c r="H29" s="140">
        <f t="shared" si="1"/>
        <v>1689.9825129873393</v>
      </c>
      <c r="J29" s="141">
        <f t="shared" si="6"/>
        <v>1896.5503062541954</v>
      </c>
      <c r="K29" s="194">
        <f t="shared" si="7"/>
        <v>89.459920106329974</v>
      </c>
      <c r="L29" s="140">
        <f t="shared" si="5"/>
        <v>1933.5867131782161</v>
      </c>
      <c r="N29" s="141">
        <f t="shared" si="10"/>
        <v>2416.0761311189649</v>
      </c>
      <c r="O29" s="194">
        <f t="shared" si="11"/>
        <v>113.96585524146062</v>
      </c>
      <c r="P29" s="140">
        <f t="shared" si="9"/>
        <v>2463.2579951889297</v>
      </c>
    </row>
    <row r="30" spans="2:19" x14ac:dyDescent="0.3">
      <c r="C30" s="211">
        <f t="shared" si="12"/>
        <v>78</v>
      </c>
      <c r="D30" s="209">
        <v>20.3</v>
      </c>
      <c r="F30" s="141">
        <f t="shared" si="13"/>
        <v>1689.9825129873393</v>
      </c>
      <c r="G30" s="189">
        <f t="shared" si="4"/>
        <v>83.250370097898482</v>
      </c>
      <c r="H30" s="140">
        <f t="shared" si="1"/>
        <v>1719.2033928917019</v>
      </c>
      <c r="J30" s="141">
        <f t="shared" si="6"/>
        <v>1933.5867131782161</v>
      </c>
      <c r="K30" s="194">
        <f t="shared" si="7"/>
        <v>95.25057700385301</v>
      </c>
      <c r="L30" s="140">
        <f t="shared" si="5"/>
        <v>1967.0196657065685</v>
      </c>
      <c r="N30" s="141">
        <f t="shared" si="10"/>
        <v>2463.2579951889297</v>
      </c>
      <c r="O30" s="194">
        <f t="shared" si="11"/>
        <v>121.34275838369112</v>
      </c>
      <c r="P30" s="140">
        <f t="shared" si="9"/>
        <v>2505.8493033816058</v>
      </c>
    </row>
    <row r="31" spans="2:19" x14ac:dyDescent="0.3">
      <c r="C31" s="211">
        <f t="shared" si="12"/>
        <v>79</v>
      </c>
      <c r="D31" s="209">
        <v>19.5</v>
      </c>
      <c r="F31" s="141">
        <f t="shared" si="13"/>
        <v>1719.2033928917019</v>
      </c>
      <c r="G31" s="189">
        <f t="shared" si="4"/>
        <v>88.164276558548821</v>
      </c>
      <c r="H31" s="140">
        <f t="shared" si="1"/>
        <v>1745.2118544764739</v>
      </c>
      <c r="J31" s="141">
        <f t="shared" si="6"/>
        <v>1967.0196657065685</v>
      </c>
      <c r="K31" s="194">
        <f t="shared" si="7"/>
        <v>100.87280336956762</v>
      </c>
      <c r="L31" s="140">
        <f t="shared" si="5"/>
        <v>1996.777142700591</v>
      </c>
      <c r="N31" s="141">
        <f t="shared" si="10"/>
        <v>2505.8493033816058</v>
      </c>
      <c r="O31" s="194">
        <f t="shared" si="11"/>
        <v>128.50509248110799</v>
      </c>
      <c r="P31" s="140">
        <f t="shared" si="9"/>
        <v>2543.7583056635326</v>
      </c>
    </row>
    <row r="32" spans="2:19" x14ac:dyDescent="0.3">
      <c r="C32" s="211">
        <f t="shared" si="12"/>
        <v>80</v>
      </c>
      <c r="D32" s="209">
        <v>18.7</v>
      </c>
      <c r="F32" s="141">
        <f t="shared" si="13"/>
        <v>1745.2118544764739</v>
      </c>
      <c r="G32" s="189">
        <f t="shared" si="4"/>
        <v>93.326837137779364</v>
      </c>
      <c r="H32" s="140">
        <f t="shared" si="1"/>
        <v>1767.5169685524033</v>
      </c>
      <c r="J32" s="141">
        <f t="shared" si="6"/>
        <v>1996.777142700591</v>
      </c>
      <c r="K32" s="194">
        <f t="shared" si="7"/>
        <v>106.77952634762519</v>
      </c>
      <c r="L32" s="140">
        <f t="shared" si="5"/>
        <v>2022.2974494976734</v>
      </c>
      <c r="N32" s="141">
        <f t="shared" si="10"/>
        <v>2543.7583056635326</v>
      </c>
      <c r="O32" s="194">
        <f t="shared" si="11"/>
        <v>136.02985591783596</v>
      </c>
      <c r="P32" s="140">
        <f t="shared" si="9"/>
        <v>2576.2694412278956</v>
      </c>
      <c r="R32" s="267">
        <f>IF($N$2=65,VLOOKUP(O32*1000,IRS!$H$4:$L$10,5),"")</f>
        <v>0.20374451928965093</v>
      </c>
      <c r="S32" s="268"/>
    </row>
    <row r="33" spans="3:16" x14ac:dyDescent="0.3">
      <c r="C33" s="211">
        <f t="shared" si="12"/>
        <v>81</v>
      </c>
      <c r="D33" s="209">
        <v>17.899999999999999</v>
      </c>
      <c r="F33" s="141">
        <f t="shared" si="13"/>
        <v>1767.5169685524033</v>
      </c>
      <c r="G33" s="189">
        <f t="shared" si="4"/>
        <v>98.743964723597955</v>
      </c>
      <c r="H33" s="140">
        <f t="shared" si="1"/>
        <v>1785.587114096822</v>
      </c>
      <c r="J33" s="141">
        <f t="shared" si="6"/>
        <v>2022.2974494976734</v>
      </c>
      <c r="K33" s="194">
        <f t="shared" si="7"/>
        <v>112.97751114512143</v>
      </c>
      <c r="L33" s="140">
        <f t="shared" si="5"/>
        <v>2042.9723340372307</v>
      </c>
      <c r="N33" s="141">
        <f t="shared" si="10"/>
        <v>2576.2694412278956</v>
      </c>
      <c r="O33" s="194">
        <f t="shared" si="11"/>
        <v>143.92566710770367</v>
      </c>
      <c r="P33" s="140">
        <f t="shared" si="9"/>
        <v>2602.6078383086056</v>
      </c>
    </row>
    <row r="34" spans="3:16" x14ac:dyDescent="0.3">
      <c r="C34" s="211">
        <f t="shared" si="12"/>
        <v>82</v>
      </c>
      <c r="D34" s="209">
        <v>17.099999999999998</v>
      </c>
      <c r="F34" s="141">
        <f t="shared" si="13"/>
        <v>1785.587114096822</v>
      </c>
      <c r="G34" s="189">
        <f t="shared" si="4"/>
        <v>104.42029906998961</v>
      </c>
      <c r="H34" s="140">
        <f t="shared" si="1"/>
        <v>1798.8484920787107</v>
      </c>
      <c r="J34" s="141">
        <f t="shared" si="6"/>
        <v>2042.9723340372307</v>
      </c>
      <c r="K34" s="194">
        <f t="shared" si="7"/>
        <v>119.47206631796672</v>
      </c>
      <c r="L34" s="140">
        <f t="shared" si="5"/>
        <v>2058.1452864596126</v>
      </c>
      <c r="N34" s="141">
        <f t="shared" si="10"/>
        <v>2602.6078383086056</v>
      </c>
      <c r="O34" s="194">
        <f t="shared" si="11"/>
        <v>152.19928878997695</v>
      </c>
      <c r="P34" s="140">
        <f t="shared" si="9"/>
        <v>2621.9371479849328</v>
      </c>
    </row>
    <row r="35" spans="3:16" x14ac:dyDescent="0.3">
      <c r="C35" s="211">
        <f t="shared" si="12"/>
        <v>83</v>
      </c>
      <c r="D35" s="209">
        <v>16.299999999999997</v>
      </c>
      <c r="F35" s="141">
        <f t="shared" si="13"/>
        <v>1798.8484920787107</v>
      </c>
      <c r="G35" s="189">
        <f t="shared" si="4"/>
        <v>110.35880319501294</v>
      </c>
      <c r="H35" s="140">
        <f t="shared" si="1"/>
        <v>1806.6839671055566</v>
      </c>
      <c r="J35" s="141">
        <f t="shared" si="6"/>
        <v>2058.1452864596126</v>
      </c>
      <c r="K35" s="194">
        <f t="shared" si="7"/>
        <v>126.2665819913873</v>
      </c>
      <c r="L35" s="140">
        <f t="shared" si="5"/>
        <v>2067.1102137810012</v>
      </c>
      <c r="N35" s="141">
        <f t="shared" si="10"/>
        <v>2621.9371479849328</v>
      </c>
      <c r="O35" s="194">
        <f t="shared" si="11"/>
        <v>160.85503975367689</v>
      </c>
      <c r="P35" s="140">
        <f t="shared" si="9"/>
        <v>2633.3578558074441</v>
      </c>
    </row>
    <row r="36" spans="3:16" x14ac:dyDescent="0.3">
      <c r="C36" s="211">
        <f t="shared" si="12"/>
        <v>84</v>
      </c>
      <c r="D36" s="209">
        <v>15.499999999999996</v>
      </c>
      <c r="F36" s="141">
        <f t="shared" si="13"/>
        <v>1806.6839671055566</v>
      </c>
      <c r="G36" s="189">
        <f t="shared" si="4"/>
        <v>116.56025594229401</v>
      </c>
      <c r="H36" s="140">
        <f t="shared" si="1"/>
        <v>1808.4323709446912</v>
      </c>
      <c r="J36" s="141">
        <f t="shared" si="6"/>
        <v>2067.1102137810012</v>
      </c>
      <c r="K36" s="194">
        <f t="shared" si="7"/>
        <v>133.36194927619366</v>
      </c>
      <c r="L36" s="140">
        <f t="shared" si="5"/>
        <v>2069.1106430201444</v>
      </c>
      <c r="N36" s="141">
        <f t="shared" si="10"/>
        <v>2633.3578558074441</v>
      </c>
      <c r="O36" s="194">
        <f t="shared" si="11"/>
        <v>169.89405521338352</v>
      </c>
      <c r="P36" s="140">
        <f t="shared" si="9"/>
        <v>2635.9062666356449</v>
      </c>
    </row>
    <row r="37" spans="3:16" x14ac:dyDescent="0.3">
      <c r="C37" s="211">
        <f t="shared" si="12"/>
        <v>85</v>
      </c>
      <c r="D37" s="209">
        <v>14.8</v>
      </c>
      <c r="F37" s="141">
        <f t="shared" si="13"/>
        <v>1808.4323709446912</v>
      </c>
      <c r="G37" s="189">
        <f t="shared" si="4"/>
        <v>122.19137641518184</v>
      </c>
      <c r="H37" s="140">
        <f t="shared" si="1"/>
        <v>1804.2778641465752</v>
      </c>
      <c r="J37" s="141">
        <f t="shared" si="6"/>
        <v>2069.1106430201444</v>
      </c>
      <c r="K37" s="194">
        <f t="shared" si="7"/>
        <v>139.80477317703676</v>
      </c>
      <c r="L37" s="140">
        <f t="shared" si="5"/>
        <v>2064.3572807321252</v>
      </c>
      <c r="N37" s="141">
        <f t="shared" si="10"/>
        <v>2635.9062666356449</v>
      </c>
      <c r="O37" s="194">
        <f t="shared" si="11"/>
        <v>178.10177477267871</v>
      </c>
      <c r="P37" s="140">
        <f t="shared" si="9"/>
        <v>2629.8508062933738</v>
      </c>
    </row>
    <row r="38" spans="3:16" x14ac:dyDescent="0.3">
      <c r="C38" s="211">
        <f t="shared" si="12"/>
        <v>86</v>
      </c>
      <c r="D38" s="209">
        <v>14.1</v>
      </c>
      <c r="F38" s="141">
        <f t="shared" si="13"/>
        <v>1804.2778641465752</v>
      </c>
      <c r="G38" s="189">
        <f t="shared" si="4"/>
        <v>127.96296908840959</v>
      </c>
      <c r="H38" s="140">
        <f t="shared" si="1"/>
        <v>1793.6569377122373</v>
      </c>
      <c r="J38" s="141">
        <f t="shared" si="6"/>
        <v>2064.3572807321252</v>
      </c>
      <c r="K38" s="194">
        <f t="shared" si="7"/>
        <v>146.40831778242023</v>
      </c>
      <c r="L38" s="140">
        <f t="shared" si="5"/>
        <v>2052.2053903561846</v>
      </c>
      <c r="N38" s="141">
        <f t="shared" si="10"/>
        <v>2629.8508062933738</v>
      </c>
      <c r="O38" s="194">
        <f t="shared" si="11"/>
        <v>186.51424158109035</v>
      </c>
      <c r="P38" s="140">
        <f t="shared" si="9"/>
        <v>2614.3701242421439</v>
      </c>
    </row>
    <row r="39" spans="3:16" x14ac:dyDescent="0.3">
      <c r="C39" s="211">
        <f t="shared" si="12"/>
        <v>87</v>
      </c>
      <c r="D39" s="209">
        <v>13.4</v>
      </c>
      <c r="F39" s="141">
        <f t="shared" si="13"/>
        <v>1793.6569377122373</v>
      </c>
      <c r="G39" s="189">
        <f t="shared" si="4"/>
        <v>133.85499535165951</v>
      </c>
      <c r="H39" s="140">
        <f t="shared" si="1"/>
        <v>1775.9880783258184</v>
      </c>
      <c r="J39" s="141">
        <f t="shared" si="6"/>
        <v>2052.2053903561846</v>
      </c>
      <c r="K39" s="194">
        <f t="shared" si="7"/>
        <v>153.14965599673019</v>
      </c>
      <c r="L39" s="140">
        <f t="shared" si="5"/>
        <v>2031.9896357646164</v>
      </c>
      <c r="N39" s="141">
        <f t="shared" si="10"/>
        <v>2614.3701242421439</v>
      </c>
      <c r="O39" s="194">
        <f t="shared" si="11"/>
        <v>195.10224807777192</v>
      </c>
      <c r="P39" s="140">
        <f t="shared" si="9"/>
        <v>2588.6166274958782</v>
      </c>
    </row>
    <row r="40" spans="3:16" x14ac:dyDescent="0.3">
      <c r="C40" s="211">
        <f t="shared" si="12"/>
        <v>88</v>
      </c>
      <c r="D40" s="209">
        <v>12.700000000000001</v>
      </c>
      <c r="F40" s="141">
        <f t="shared" si="13"/>
        <v>1775.9880783258184</v>
      </c>
      <c r="G40" s="189">
        <f t="shared" si="4"/>
        <v>139.84158097053688</v>
      </c>
      <c r="H40" s="140">
        <f t="shared" si="1"/>
        <v>1750.6767521701513</v>
      </c>
      <c r="J40" s="141">
        <f t="shared" si="6"/>
        <v>2031.9896357646164</v>
      </c>
      <c r="K40" s="194">
        <f t="shared" si="7"/>
        <v>159.99918391847373</v>
      </c>
      <c r="L40" s="140">
        <f t="shared" si="5"/>
        <v>2003.0297834753726</v>
      </c>
      <c r="N40" s="141">
        <f t="shared" si="10"/>
        <v>2588.6166274958782</v>
      </c>
      <c r="O40" s="194">
        <f t="shared" si="11"/>
        <v>203.82808090518725</v>
      </c>
      <c r="P40" s="140">
        <f t="shared" si="9"/>
        <v>2551.7237448520395</v>
      </c>
    </row>
    <row r="41" spans="3:16" x14ac:dyDescent="0.3">
      <c r="C41" s="211">
        <f t="shared" si="12"/>
        <v>89</v>
      </c>
      <c r="D41" s="209">
        <v>12.000000000000002</v>
      </c>
      <c r="F41" s="141">
        <f t="shared" si="13"/>
        <v>1750.6767521701513</v>
      </c>
      <c r="G41" s="189">
        <f t="shared" si="4"/>
        <v>145.8897293475126</v>
      </c>
      <c r="H41" s="140">
        <f t="shared" si="1"/>
        <v>1717.1221144202234</v>
      </c>
      <c r="J41" s="141">
        <f t="shared" si="6"/>
        <v>2003.0297834753726</v>
      </c>
      <c r="K41" s="194">
        <f t="shared" si="7"/>
        <v>166.91914862294769</v>
      </c>
      <c r="L41" s="140">
        <f t="shared" si="5"/>
        <v>1964.6383792920949</v>
      </c>
      <c r="N41" s="141">
        <f t="shared" si="10"/>
        <v>2551.7237448520395</v>
      </c>
      <c r="O41" s="194">
        <f t="shared" si="11"/>
        <v>212.64364540433661</v>
      </c>
      <c r="P41" s="140">
        <f t="shared" si="9"/>
        <v>2502.8157064090424</v>
      </c>
    </row>
    <row r="42" spans="3:16" x14ac:dyDescent="0.3">
      <c r="C42" s="211">
        <f t="shared" si="12"/>
        <v>90</v>
      </c>
      <c r="D42" s="209">
        <v>11.400000000000002</v>
      </c>
      <c r="F42" s="141">
        <f t="shared" si="13"/>
        <v>1717.1221144202234</v>
      </c>
      <c r="G42" s="189">
        <f t="shared" si="4"/>
        <v>150.62474687896693</v>
      </c>
      <c r="H42" s="140">
        <f t="shared" si="1"/>
        <v>1676.1521832691444</v>
      </c>
      <c r="J42" s="141">
        <f t="shared" si="6"/>
        <v>1964.6383792920949</v>
      </c>
      <c r="K42" s="194">
        <f t="shared" si="7"/>
        <v>172.33669993790303</v>
      </c>
      <c r="L42" s="140">
        <f t="shared" si="5"/>
        <v>1917.7627969089856</v>
      </c>
      <c r="N42" s="141">
        <f t="shared" si="10"/>
        <v>2502.8157064090424</v>
      </c>
      <c r="O42" s="194">
        <f t="shared" si="11"/>
        <v>219.54523740430193</v>
      </c>
      <c r="P42" s="140">
        <f t="shared" si="9"/>
        <v>2443.0994018350725</v>
      </c>
    </row>
    <row r="43" spans="3:16" x14ac:dyDescent="0.3">
      <c r="C43" s="211">
        <f t="shared" si="12"/>
        <v>91</v>
      </c>
      <c r="D43" s="209">
        <v>10.800000000000002</v>
      </c>
      <c r="F43" s="141">
        <f t="shared" si="13"/>
        <v>1676.1521832691444</v>
      </c>
      <c r="G43" s="189">
        <f t="shared" si="4"/>
        <v>155.19927622862446</v>
      </c>
      <c r="H43" s="140">
        <f t="shared" si="1"/>
        <v>1627.4196105333565</v>
      </c>
      <c r="J43" s="141">
        <f t="shared" si="6"/>
        <v>1917.7627969089856</v>
      </c>
      <c r="K43" s="194">
        <f t="shared" si="7"/>
        <v>177.57062934342454</v>
      </c>
      <c r="L43" s="140">
        <f t="shared" si="5"/>
        <v>1862.0056192951504</v>
      </c>
      <c r="N43" s="141">
        <f t="shared" si="10"/>
        <v>2443.0994018350725</v>
      </c>
      <c r="O43" s="194">
        <f t="shared" si="11"/>
        <v>226.21290757732149</v>
      </c>
      <c r="P43" s="140">
        <f t="shared" si="9"/>
        <v>2372.0685488557938</v>
      </c>
    </row>
    <row r="44" spans="3:16" x14ac:dyDescent="0.3">
      <c r="C44" s="211">
        <f t="shared" si="12"/>
        <v>92</v>
      </c>
      <c r="D44" s="209">
        <v>10.200000000000003</v>
      </c>
      <c r="F44" s="141">
        <f t="shared" si="13"/>
        <v>1627.4196105333565</v>
      </c>
      <c r="G44" s="189">
        <f t="shared" si="4"/>
        <v>159.55094220915257</v>
      </c>
      <c r="H44" s="140">
        <f t="shared" si="1"/>
        <v>1570.6194751068983</v>
      </c>
      <c r="J44" s="141">
        <f t="shared" si="6"/>
        <v>1862.0056192951504</v>
      </c>
      <c r="K44" s="194">
        <f t="shared" si="7"/>
        <v>182.54957051913235</v>
      </c>
      <c r="L44" s="140">
        <f t="shared" si="5"/>
        <v>1797.0179721903394</v>
      </c>
      <c r="N44" s="141">
        <f t="shared" si="10"/>
        <v>2372.0685488557938</v>
      </c>
      <c r="O44" s="194">
        <f t="shared" si="11"/>
        <v>232.5557400839013</v>
      </c>
      <c r="P44" s="140">
        <f t="shared" si="9"/>
        <v>2289.2787053859252</v>
      </c>
    </row>
    <row r="45" spans="3:16" x14ac:dyDescent="0.3">
      <c r="C45" s="211">
        <f t="shared" si="12"/>
        <v>93</v>
      </c>
      <c r="D45" s="209">
        <v>9.6000000000000032</v>
      </c>
      <c r="F45" s="141">
        <f t="shared" si="13"/>
        <v>1570.6194751068983</v>
      </c>
      <c r="G45" s="189">
        <f t="shared" si="4"/>
        <v>163.60619532363518</v>
      </c>
      <c r="H45" s="140">
        <f t="shared" si="1"/>
        <v>1505.5042093680918</v>
      </c>
      <c r="J45" s="141">
        <f t="shared" si="6"/>
        <v>1797.0179721903394</v>
      </c>
      <c r="K45" s="194">
        <f t="shared" si="7"/>
        <v>187.18937210316028</v>
      </c>
      <c r="L45" s="140">
        <f t="shared" si="5"/>
        <v>1722.5166020932816</v>
      </c>
      <c r="N45" s="141">
        <f t="shared" si="10"/>
        <v>2289.2787053859252</v>
      </c>
      <c r="O45" s="194">
        <f t="shared" si="11"/>
        <v>238.4665318110338</v>
      </c>
      <c r="P45" s="140">
        <f t="shared" si="9"/>
        <v>2194.3690257251337</v>
      </c>
    </row>
    <row r="46" spans="3:16" x14ac:dyDescent="0.3">
      <c r="C46" s="211">
        <f t="shared" si="12"/>
        <v>94</v>
      </c>
      <c r="D46" s="209">
        <v>9.1000000000000032</v>
      </c>
      <c r="F46" s="141">
        <f t="shared" si="13"/>
        <v>1505.5042093680918</v>
      </c>
      <c r="G46" s="189">
        <f t="shared" si="4"/>
        <v>165.44002300748255</v>
      </c>
      <c r="H46" s="140">
        <f t="shared" si="1"/>
        <v>1433.8686794058519</v>
      </c>
      <c r="J46" s="141">
        <f t="shared" si="6"/>
        <v>1722.5166020932816</v>
      </c>
      <c r="K46" s="194">
        <f t="shared" si="7"/>
        <v>189.28753869156932</v>
      </c>
      <c r="L46" s="140">
        <f t="shared" si="5"/>
        <v>1640.5550978398321</v>
      </c>
      <c r="N46" s="141">
        <f t="shared" si="10"/>
        <v>2194.3690257251337</v>
      </c>
      <c r="O46" s="194">
        <f t="shared" si="11"/>
        <v>241.13945337638825</v>
      </c>
      <c r="P46" s="140">
        <f t="shared" si="9"/>
        <v>2089.9556424131579</v>
      </c>
    </row>
    <row r="47" spans="3:16" x14ac:dyDescent="0.3">
      <c r="C47" s="211">
        <f t="shared" si="12"/>
        <v>95</v>
      </c>
      <c r="D47" s="209">
        <v>8.6000000000000032</v>
      </c>
      <c r="F47" s="141">
        <f t="shared" si="13"/>
        <v>1433.8686794058519</v>
      </c>
      <c r="G47" s="189">
        <f t="shared" si="4"/>
        <v>166.72891620998271</v>
      </c>
      <c r="H47" s="140">
        <f t="shared" si="1"/>
        <v>1355.83954661958</v>
      </c>
      <c r="J47" s="141">
        <f t="shared" si="6"/>
        <v>1640.5550978398321</v>
      </c>
      <c r="K47" s="194">
        <f t="shared" si="7"/>
        <v>190.76222067905019</v>
      </c>
      <c r="L47" s="140">
        <f t="shared" si="5"/>
        <v>1551.2783785620368</v>
      </c>
      <c r="N47" s="141">
        <f t="shared" si="10"/>
        <v>2089.9556424131579</v>
      </c>
      <c r="O47" s="194">
        <f t="shared" si="11"/>
        <v>243.01809795501828</v>
      </c>
      <c r="P47" s="140">
        <f t="shared" si="9"/>
        <v>1976.2231725702095</v>
      </c>
    </row>
    <row r="48" spans="3:16" x14ac:dyDescent="0.3">
      <c r="C48" s="211">
        <f t="shared" si="12"/>
        <v>96</v>
      </c>
      <c r="D48" s="209">
        <v>8.1000000000000032</v>
      </c>
      <c r="F48" s="141">
        <f t="shared" si="13"/>
        <v>1355.83954661958</v>
      </c>
      <c r="G48" s="189">
        <f t="shared" si="4"/>
        <v>167.38759834809622</v>
      </c>
      <c r="H48" s="140">
        <f t="shared" si="1"/>
        <v>1271.6435846504878</v>
      </c>
      <c r="J48" s="141">
        <f t="shared" si="6"/>
        <v>1551.2783785620368</v>
      </c>
      <c r="K48" s="194">
        <f t="shared" si="7"/>
        <v>191.51584920518965</v>
      </c>
      <c r="L48" s="140">
        <f t="shared" si="5"/>
        <v>1454.9459064118266</v>
      </c>
      <c r="N48" s="141">
        <f t="shared" si="10"/>
        <v>1976.2231725702095</v>
      </c>
      <c r="O48" s="194">
        <f t="shared" si="11"/>
        <v>243.9781694531122</v>
      </c>
      <c r="P48" s="140">
        <f t="shared" si="9"/>
        <v>1853.5021533352942</v>
      </c>
    </row>
    <row r="49" spans="3:16" x14ac:dyDescent="0.3">
      <c r="C49" s="211">
        <f t="shared" si="12"/>
        <v>97</v>
      </c>
      <c r="D49" s="209">
        <v>7.6000000000000032</v>
      </c>
      <c r="F49" s="141">
        <f t="shared" si="13"/>
        <v>1271.6435846504878</v>
      </c>
      <c r="G49" s="189">
        <f t="shared" si="4"/>
        <v>167.32152429611673</v>
      </c>
      <c r="H49" s="140">
        <f t="shared" si="1"/>
        <v>1181.6246045791772</v>
      </c>
      <c r="J49" s="141">
        <f t="shared" si="6"/>
        <v>1454.9459064118266</v>
      </c>
      <c r="K49" s="194">
        <f t="shared" si="7"/>
        <v>191.44025084366132</v>
      </c>
      <c r="L49" s="140">
        <f t="shared" si="5"/>
        <v>1351.951051457937</v>
      </c>
      <c r="N49" s="141">
        <f t="shared" si="10"/>
        <v>1853.5021533352942</v>
      </c>
      <c r="O49" s="194">
        <f t="shared" si="11"/>
        <v>243.88186228095967</v>
      </c>
      <c r="P49" s="140">
        <f t="shared" si="9"/>
        <v>1722.2937114281381</v>
      </c>
    </row>
    <row r="50" spans="3:16" x14ac:dyDescent="0.3">
      <c r="C50" s="211">
        <f t="shared" si="12"/>
        <v>98</v>
      </c>
      <c r="D50" s="209">
        <v>7.1000000000000032</v>
      </c>
      <c r="F50" s="141">
        <f t="shared" si="13"/>
        <v>1181.6246045791772</v>
      </c>
      <c r="G50" s="189">
        <f t="shared" si="4"/>
        <v>166.42600064495446</v>
      </c>
      <c r="H50" s="140">
        <f t="shared" si="1"/>
        <v>1086.2625062096183</v>
      </c>
      <c r="J50" s="141">
        <f t="shared" si="6"/>
        <v>1351.951051457937</v>
      </c>
      <c r="K50" s="194">
        <f t="shared" si="7"/>
        <v>190.41564105041357</v>
      </c>
      <c r="L50" s="140">
        <f t="shared" si="5"/>
        <v>1242.8428891360502</v>
      </c>
      <c r="N50" s="141">
        <f t="shared" si="10"/>
        <v>1722.2937114281381</v>
      </c>
      <c r="O50" s="194">
        <f t="shared" si="11"/>
        <v>242.57657907438553</v>
      </c>
      <c r="P50" s="140">
        <f t="shared" si="9"/>
        <v>1583.2973316185153</v>
      </c>
    </row>
    <row r="51" spans="3:16" x14ac:dyDescent="0.3">
      <c r="C51" s="211">
        <f t="shared" si="12"/>
        <v>99</v>
      </c>
      <c r="D51" s="209">
        <v>6.7000000000000028</v>
      </c>
      <c r="F51" s="141">
        <f t="shared" si="13"/>
        <v>1086.2625062096183</v>
      </c>
      <c r="G51" s="189">
        <f t="shared" si="4"/>
        <v>162.12873227009223</v>
      </c>
      <c r="H51" s="140">
        <f t="shared" si="1"/>
        <v>988.82313811529298</v>
      </c>
      <c r="J51" s="141">
        <f t="shared" si="6"/>
        <v>1242.8428891360502</v>
      </c>
      <c r="K51" s="194">
        <f t="shared" si="7"/>
        <v>185.49893867702235</v>
      </c>
      <c r="L51" s="140">
        <f t="shared" si="5"/>
        <v>1131.3580269911599</v>
      </c>
      <c r="N51" s="141">
        <f t="shared" si="10"/>
        <v>1583.2973316185153</v>
      </c>
      <c r="O51" s="194">
        <f t="shared" si="11"/>
        <v>236.31303456992757</v>
      </c>
      <c r="P51" s="140">
        <f t="shared" si="9"/>
        <v>1441.2731978419888</v>
      </c>
    </row>
    <row r="52" spans="3:16" x14ac:dyDescent="0.3">
      <c r="C52" s="211">
        <f t="shared" si="12"/>
        <v>100</v>
      </c>
      <c r="D52" s="209">
        <v>6.3000000000000025</v>
      </c>
      <c r="F52" s="141">
        <f t="shared" si="13"/>
        <v>988.82313811529298</v>
      </c>
      <c r="G52" s="189">
        <f t="shared" si="4"/>
        <v>156.95605366909408</v>
      </c>
      <c r="H52" s="140">
        <f t="shared" si="1"/>
        <v>890.09778035743284</v>
      </c>
      <c r="J52" s="141">
        <f t="shared" si="6"/>
        <v>1131.3580269911599</v>
      </c>
      <c r="K52" s="194">
        <f t="shared" si="7"/>
        <v>179.58063920494595</v>
      </c>
      <c r="L52" s="140">
        <f t="shared" si="5"/>
        <v>1018.401804931249</v>
      </c>
      <c r="N52" s="141">
        <f t="shared" si="10"/>
        <v>1441.2731978419888</v>
      </c>
      <c r="O52" s="194">
        <f t="shared" si="11"/>
        <v>228.77352346698225</v>
      </c>
      <c r="P52" s="140">
        <f t="shared" si="9"/>
        <v>1297.3746515812572</v>
      </c>
    </row>
    <row r="53" spans="3:16" ht="14.4" thickBot="1" x14ac:dyDescent="0.35">
      <c r="C53" s="211">
        <f t="shared" si="12"/>
        <v>101</v>
      </c>
      <c r="D53" s="209">
        <v>5.9000000000000021</v>
      </c>
      <c r="F53" s="198">
        <f t="shared" si="13"/>
        <v>890.09778035743284</v>
      </c>
      <c r="G53" s="199">
        <f t="shared" si="4"/>
        <v>150.86403056905635</v>
      </c>
      <c r="H53" s="188">
        <f t="shared" si="1"/>
        <v>790.9801122735629</v>
      </c>
      <c r="J53" s="198">
        <f t="shared" si="6"/>
        <v>1018.401804931249</v>
      </c>
      <c r="K53" s="200">
        <f t="shared" si="7"/>
        <v>172.61047541207603</v>
      </c>
      <c r="L53" s="188">
        <f t="shared" si="5"/>
        <v>904.99672258551504</v>
      </c>
      <c r="N53" s="198">
        <f t="shared" si="10"/>
        <v>1297.3746515812572</v>
      </c>
      <c r="O53" s="200">
        <f t="shared" si="11"/>
        <v>219.8940087425859</v>
      </c>
      <c r="P53" s="188">
        <f t="shared" si="9"/>
        <v>1152.9042878373784</v>
      </c>
    </row>
  </sheetData>
  <mergeCells count="4">
    <mergeCell ref="F5:H5"/>
    <mergeCell ref="J5:L5"/>
    <mergeCell ref="N5:P5"/>
    <mergeCell ref="R5:R6"/>
  </mergeCells>
  <pageMargins left="0.7" right="0.7" top="0.75" bottom="0.75" header="0.3" footer="0.3"/>
  <pageSetup scale="65" fitToWidth="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T121"/>
  <sheetViews>
    <sheetView showGridLines="0" zoomScale="80" zoomScaleNormal="80" workbookViewId="0">
      <selection activeCell="F11" sqref="F11:J11"/>
    </sheetView>
  </sheetViews>
  <sheetFormatPr defaultRowHeight="14.4" x14ac:dyDescent="0.3"/>
  <cols>
    <col min="1" max="2" width="4.44140625" bestFit="1" customWidth="1"/>
    <col min="3" max="3" width="8.109375" bestFit="1" customWidth="1"/>
    <col min="4" max="4" width="2.33203125" customWidth="1"/>
    <col min="5" max="5" width="6.44140625" style="94" customWidth="1"/>
    <col min="6" max="7" width="3.6640625" customWidth="1"/>
    <col min="8" max="8" width="6.44140625" customWidth="1"/>
    <col min="9" max="9" width="2.6640625" customWidth="1"/>
    <col min="10" max="10" width="8.33203125" customWidth="1"/>
    <col min="11" max="11" width="4.6640625" customWidth="1"/>
    <col min="12" max="12" width="2.6640625" customWidth="1"/>
    <col min="13" max="14" width="4.6640625" customWidth="1"/>
    <col min="15" max="15" width="2.6640625" customWidth="1"/>
    <col min="16" max="17" width="4.6640625" customWidth="1"/>
    <col min="18" max="18" width="2.6640625" customWidth="1"/>
    <col min="19" max="20" width="4.6640625" customWidth="1"/>
    <col min="21" max="21" width="2.6640625" customWidth="1"/>
    <col min="22" max="23" width="4.6640625" customWidth="1"/>
    <col min="24" max="24" width="2.6640625" customWidth="1"/>
    <col min="25" max="25" width="4.6640625" customWidth="1"/>
    <col min="26" max="26" width="2.6640625" customWidth="1"/>
    <col min="27" max="27" width="1.5546875" customWidth="1"/>
    <col min="28" max="28" width="2.6640625" customWidth="1"/>
    <col min="29" max="29" width="4.6640625" customWidth="1"/>
    <col min="30" max="30" width="6" customWidth="1"/>
    <col min="31" max="40" width="4.6640625" customWidth="1"/>
    <col min="41" max="41" width="2.6640625" customWidth="1"/>
    <col min="42" max="56" width="4.6640625" customWidth="1"/>
  </cols>
  <sheetData>
    <row r="1" spans="1:46" x14ac:dyDescent="0.3">
      <c r="N1" s="1"/>
      <c r="O1" s="1"/>
      <c r="P1" s="1"/>
      <c r="Q1" s="1"/>
      <c r="V1" s="1"/>
      <c r="W1" s="1"/>
      <c r="X1" s="1"/>
      <c r="Y1" s="1"/>
    </row>
    <row r="2" spans="1:46" ht="23.4" x14ac:dyDescent="0.45">
      <c r="E2" s="348" t="s">
        <v>165</v>
      </c>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row>
    <row r="3" spans="1:46" ht="15" thickBot="1" x14ac:dyDescent="0.35">
      <c r="M3" s="69"/>
      <c r="N3" s="1"/>
      <c r="O3" s="1"/>
      <c r="P3" s="1"/>
      <c r="Q3" s="1"/>
      <c r="R3" s="1"/>
      <c r="S3" s="1"/>
      <c r="T3" s="1"/>
      <c r="U3" s="1"/>
      <c r="V3" s="1"/>
      <c r="W3" s="1"/>
      <c r="X3" s="1"/>
      <c r="Y3" s="1"/>
      <c r="Z3" s="1"/>
      <c r="AA3" s="1"/>
      <c r="AB3" s="1"/>
      <c r="AC3" s="1"/>
      <c r="AD3" s="1"/>
      <c r="AE3" s="1"/>
      <c r="AF3" s="1"/>
      <c r="AG3" s="1"/>
      <c r="AH3" s="1"/>
      <c r="AI3" s="1"/>
      <c r="AJ3" s="1"/>
      <c r="AK3" s="1"/>
      <c r="AL3" s="1"/>
      <c r="AM3" s="1"/>
    </row>
    <row r="4" spans="1:46" ht="15.6" thickTop="1" thickBot="1" x14ac:dyDescent="0.35">
      <c r="E4" s="95"/>
      <c r="F4" s="23"/>
      <c r="G4" s="24"/>
      <c r="H4" s="23"/>
      <c r="I4" s="23"/>
      <c r="J4" s="23"/>
      <c r="K4" s="23"/>
      <c r="L4" s="23"/>
      <c r="M4" s="23"/>
      <c r="N4" s="25"/>
      <c r="O4" s="25"/>
      <c r="P4" s="25"/>
      <c r="Q4" s="25"/>
      <c r="R4" s="25"/>
      <c r="S4" s="25"/>
      <c r="T4" s="25"/>
      <c r="U4" s="25"/>
      <c r="V4" s="25"/>
      <c r="W4" s="25"/>
      <c r="X4" s="25"/>
      <c r="Y4" s="25"/>
      <c r="Z4" s="26"/>
      <c r="AB4" s="11"/>
      <c r="AC4" s="12"/>
      <c r="AD4" s="162" t="s">
        <v>129</v>
      </c>
      <c r="AE4" s="12"/>
      <c r="AF4" s="128"/>
      <c r="AG4" s="164">
        <f>AF9/AL9</f>
        <v>0.76470588235294124</v>
      </c>
      <c r="AH4" s="128"/>
      <c r="AI4" s="128"/>
      <c r="AJ4" s="130">
        <f>AI9/AL9</f>
        <v>0.23529411764705871</v>
      </c>
      <c r="AK4" s="128"/>
      <c r="AL4" s="12"/>
      <c r="AM4" s="12"/>
      <c r="AN4" s="12"/>
      <c r="AO4" s="13"/>
    </row>
    <row r="5" spans="1:46" ht="15" thickBot="1" x14ac:dyDescent="0.35">
      <c r="E5" s="96"/>
      <c r="F5" s="325" t="s">
        <v>24</v>
      </c>
      <c r="G5" s="326"/>
      <c r="H5" s="326"/>
      <c r="I5" s="326"/>
      <c r="J5" s="327"/>
      <c r="K5" s="349">
        <v>100000</v>
      </c>
      <c r="L5" s="350"/>
      <c r="M5" s="351"/>
      <c r="N5" s="28"/>
      <c r="O5" s="28"/>
      <c r="P5" s="325" t="s">
        <v>14</v>
      </c>
      <c r="Q5" s="326"/>
      <c r="R5" s="326"/>
      <c r="S5" s="326"/>
      <c r="T5" s="327"/>
      <c r="U5" s="359">
        <v>100</v>
      </c>
      <c r="V5" s="360"/>
      <c r="W5" s="361"/>
      <c r="X5" s="51" t="s">
        <v>1</v>
      </c>
      <c r="Y5" s="30"/>
      <c r="Z5" s="31"/>
      <c r="AB5" s="14"/>
      <c r="AC5" s="294"/>
      <c r="AD5" s="295"/>
      <c r="AE5" s="296"/>
      <c r="AF5" s="392" t="s">
        <v>112</v>
      </c>
      <c r="AG5" s="393"/>
      <c r="AH5" s="394"/>
      <c r="AI5" s="395" t="s">
        <v>103</v>
      </c>
      <c r="AJ5" s="396"/>
      <c r="AK5" s="397"/>
      <c r="AL5" s="294"/>
      <c r="AM5" s="295"/>
      <c r="AN5" s="296"/>
      <c r="AO5" s="15"/>
      <c r="AP5" s="1"/>
      <c r="AQ5" s="1"/>
      <c r="AR5" s="1"/>
      <c r="AS5" s="1"/>
      <c r="AT5" s="1"/>
    </row>
    <row r="6" spans="1:46" ht="15" thickBot="1" x14ac:dyDescent="0.35">
      <c r="E6" s="96"/>
      <c r="F6" s="325" t="s">
        <v>23</v>
      </c>
      <c r="G6" s="326"/>
      <c r="H6" s="326"/>
      <c r="I6" s="326"/>
      <c r="J6" s="327"/>
      <c r="K6" s="359">
        <f>'MaxPreTax IRA'!IncomeIncreaseRate</f>
        <v>3</v>
      </c>
      <c r="L6" s="360"/>
      <c r="M6" s="361"/>
      <c r="N6" s="51" t="s">
        <v>1</v>
      </c>
      <c r="O6" s="30"/>
      <c r="P6" s="325" t="s">
        <v>15</v>
      </c>
      <c r="Q6" s="327"/>
      <c r="R6" s="359">
        <v>6</v>
      </c>
      <c r="S6" s="360"/>
      <c r="T6" s="361"/>
      <c r="U6" s="362" t="s">
        <v>0</v>
      </c>
      <c r="V6" s="363"/>
      <c r="W6" s="363"/>
      <c r="X6" s="28"/>
      <c r="Y6" s="30"/>
      <c r="Z6" s="31"/>
      <c r="AB6" s="14"/>
      <c r="AC6" s="297" t="s">
        <v>102</v>
      </c>
      <c r="AD6" s="297"/>
      <c r="AE6" s="297"/>
      <c r="AF6" s="390" t="s">
        <v>105</v>
      </c>
      <c r="AG6" s="390"/>
      <c r="AH6" s="390"/>
      <c r="AI6" s="391" t="s">
        <v>8</v>
      </c>
      <c r="AJ6" s="391"/>
      <c r="AK6" s="391"/>
      <c r="AL6" s="355" t="s">
        <v>10</v>
      </c>
      <c r="AM6" s="355"/>
      <c r="AN6" s="355"/>
      <c r="AO6" s="15"/>
      <c r="AP6" s="1"/>
      <c r="AQ6" s="1"/>
      <c r="AR6" s="1"/>
      <c r="AS6" s="1"/>
      <c r="AT6" s="1"/>
    </row>
    <row r="7" spans="1:46" ht="15" thickBot="1" x14ac:dyDescent="0.35">
      <c r="E7" s="96"/>
      <c r="F7" s="21"/>
      <c r="G7" s="21"/>
      <c r="H7" s="21"/>
      <c r="I7" s="21"/>
      <c r="J7" s="21"/>
      <c r="K7" s="28"/>
      <c r="L7" s="28"/>
      <c r="M7" s="28"/>
      <c r="N7" s="29"/>
      <c r="O7" s="30"/>
      <c r="P7" s="32"/>
      <c r="Q7" s="32"/>
      <c r="R7" s="32"/>
      <c r="S7" s="32"/>
      <c r="T7" s="32"/>
      <c r="U7" s="28"/>
      <c r="V7" s="28"/>
      <c r="W7" s="28"/>
      <c r="X7" s="28"/>
      <c r="Y7" s="30"/>
      <c r="Z7" s="31"/>
      <c r="AB7" s="14"/>
      <c r="AC7" s="297" t="s">
        <v>25</v>
      </c>
      <c r="AD7" s="297"/>
      <c r="AE7" s="297"/>
      <c r="AF7" s="356">
        <f>K9</f>
        <v>0</v>
      </c>
      <c r="AG7" s="356"/>
      <c r="AH7" s="356"/>
      <c r="AI7" s="357">
        <f>K10</f>
        <v>0</v>
      </c>
      <c r="AJ7" s="357"/>
      <c r="AK7" s="357"/>
      <c r="AL7" s="358">
        <f>SUM(AF7:AK7)</f>
        <v>0</v>
      </c>
      <c r="AM7" s="358"/>
      <c r="AN7" s="358"/>
      <c r="AO7" s="15"/>
      <c r="AP7" s="1"/>
      <c r="AQ7" s="1"/>
      <c r="AR7" s="1"/>
      <c r="AS7" s="1"/>
      <c r="AT7" s="1"/>
    </row>
    <row r="8" spans="1:46" ht="15" thickBot="1" x14ac:dyDescent="0.35">
      <c r="E8" s="96"/>
      <c r="F8" s="325" t="s">
        <v>22</v>
      </c>
      <c r="G8" s="326"/>
      <c r="H8" s="326"/>
      <c r="I8" s="326"/>
      <c r="J8" s="327"/>
      <c r="K8" s="344">
        <f>EmployerInitialCont+YourInitialCont</f>
        <v>0</v>
      </c>
      <c r="L8" s="345"/>
      <c r="M8" s="346"/>
      <c r="N8" s="29"/>
      <c r="O8" s="30"/>
      <c r="P8" s="325" t="s">
        <v>16</v>
      </c>
      <c r="Q8" s="326"/>
      <c r="R8" s="326"/>
      <c r="S8" s="326"/>
      <c r="T8" s="327"/>
      <c r="U8" s="328">
        <v>30</v>
      </c>
      <c r="V8" s="329"/>
      <c r="W8" s="330"/>
      <c r="X8" s="28"/>
      <c r="Y8" s="30"/>
      <c r="Z8" s="31"/>
      <c r="AB8" s="14"/>
      <c r="AC8" s="331" t="str">
        <f>" Coming "&amp;(RetirementAge-CurrentAge)&amp;" yrs"</f>
        <v xml:space="preserve"> Coming 35 yrs</v>
      </c>
      <c r="AD8" s="331"/>
      <c r="AE8" s="331"/>
      <c r="AF8" s="347">
        <f>SUM(N17:P76)</f>
        <v>1179010.5953414903</v>
      </c>
      <c r="AG8" s="347"/>
      <c r="AH8" s="347"/>
      <c r="AI8" s="364">
        <f>SUM(Q17:S76)</f>
        <v>362772.49087430455</v>
      </c>
      <c r="AJ8" s="364"/>
      <c r="AK8" s="364"/>
      <c r="AL8" s="365">
        <f>SUM(AF8:AK8)</f>
        <v>1541783.086215795</v>
      </c>
      <c r="AM8" s="365"/>
      <c r="AN8" s="365"/>
      <c r="AO8" s="15"/>
      <c r="AP8" s="1"/>
      <c r="AQ8" s="1"/>
      <c r="AR8" s="1"/>
      <c r="AS8" s="1"/>
      <c r="AT8" s="1"/>
    </row>
    <row r="9" spans="1:46" ht="15" thickBot="1" x14ac:dyDescent="0.35">
      <c r="E9" s="96"/>
      <c r="F9" s="325" t="s">
        <v>21</v>
      </c>
      <c r="G9" s="326"/>
      <c r="H9" s="326"/>
      <c r="I9" s="326"/>
      <c r="J9" s="327"/>
      <c r="K9" s="333">
        <v>0</v>
      </c>
      <c r="L9" s="334"/>
      <c r="M9" s="335"/>
      <c r="N9" s="29"/>
      <c r="O9" s="30"/>
      <c r="P9" s="325" t="s">
        <v>17</v>
      </c>
      <c r="Q9" s="326"/>
      <c r="R9" s="326"/>
      <c r="S9" s="326"/>
      <c r="T9" s="327"/>
      <c r="U9" s="337">
        <v>65</v>
      </c>
      <c r="V9" s="338"/>
      <c r="W9" s="339"/>
      <c r="X9" s="28"/>
      <c r="Y9" s="30"/>
      <c r="Z9" s="31"/>
      <c r="AB9" s="14"/>
      <c r="AC9" s="386" t="s">
        <v>130</v>
      </c>
      <c r="AD9" s="386"/>
      <c r="AE9" s="386"/>
      <c r="AF9" s="387">
        <f>AF7+AF8</f>
        <v>1179010.5953414903</v>
      </c>
      <c r="AG9" s="387"/>
      <c r="AH9" s="387"/>
      <c r="AI9" s="388">
        <f>AI7+AI8</f>
        <v>362772.49087430455</v>
      </c>
      <c r="AJ9" s="388"/>
      <c r="AK9" s="388"/>
      <c r="AL9" s="389">
        <f>SUM(AF9:AK9)</f>
        <v>1541783.086215795</v>
      </c>
      <c r="AM9" s="389"/>
      <c r="AN9" s="389"/>
      <c r="AO9" s="15"/>
      <c r="AP9" s="1"/>
      <c r="AQ9" s="1"/>
      <c r="AR9" s="1"/>
      <c r="AS9" s="1"/>
      <c r="AT9" s="1"/>
    </row>
    <row r="10" spans="1:46" ht="15" thickBot="1" x14ac:dyDescent="0.35">
      <c r="E10" s="96"/>
      <c r="F10" s="325" t="s">
        <v>20</v>
      </c>
      <c r="G10" s="326"/>
      <c r="H10" s="326"/>
      <c r="I10" s="326"/>
      <c r="J10" s="327"/>
      <c r="K10" s="333">
        <v>0</v>
      </c>
      <c r="L10" s="334"/>
      <c r="M10" s="335"/>
      <c r="N10" s="29"/>
      <c r="O10" s="30"/>
      <c r="P10" s="325" t="s">
        <v>32</v>
      </c>
      <c r="Q10" s="326"/>
      <c r="R10" s="326"/>
      <c r="S10" s="326"/>
      <c r="T10" s="327"/>
      <c r="U10" s="322">
        <f>'MaxPreTax IRA'!InterestRate</f>
        <v>7</v>
      </c>
      <c r="V10" s="323"/>
      <c r="W10" s="324"/>
      <c r="X10" s="51" t="s">
        <v>1</v>
      </c>
      <c r="Y10" s="30"/>
      <c r="Z10" s="31"/>
      <c r="AB10" s="14"/>
      <c r="AC10" s="297" t="s">
        <v>68</v>
      </c>
      <c r="AD10" s="297"/>
      <c r="AE10" s="297"/>
      <c r="AF10" s="373">
        <f>AL10*AG4</f>
        <v>2654064.9319024379</v>
      </c>
      <c r="AG10" s="373"/>
      <c r="AH10" s="373"/>
      <c r="AI10" s="373">
        <f>AL10-AF10</f>
        <v>816635.36366228806</v>
      </c>
      <c r="AJ10" s="373"/>
      <c r="AK10" s="373"/>
      <c r="AL10" s="373">
        <f>SUM(T17:V76)</f>
        <v>3470700.295564726</v>
      </c>
      <c r="AM10" s="373"/>
      <c r="AN10" s="373"/>
      <c r="AO10" s="15"/>
      <c r="AP10" s="1"/>
      <c r="AQ10" s="1"/>
      <c r="AR10" s="1"/>
    </row>
    <row r="11" spans="1:46" ht="15" thickBot="1" x14ac:dyDescent="0.35">
      <c r="E11" s="96"/>
      <c r="F11" s="325" t="s">
        <v>166</v>
      </c>
      <c r="G11" s="326"/>
      <c r="H11" s="326"/>
      <c r="I11" s="326"/>
      <c r="J11" s="327"/>
      <c r="K11" s="383">
        <v>19.5</v>
      </c>
      <c r="L11" s="384"/>
      <c r="M11" s="385"/>
      <c r="N11" s="51" t="s">
        <v>1</v>
      </c>
      <c r="O11" s="30"/>
      <c r="P11" s="325" t="s">
        <v>18</v>
      </c>
      <c r="Q11" s="326"/>
      <c r="R11" s="326"/>
      <c r="S11" s="326"/>
      <c r="T11" s="327"/>
      <c r="U11" s="328">
        <v>1</v>
      </c>
      <c r="V11" s="329"/>
      <c r="W11" s="330"/>
      <c r="X11" s="28"/>
      <c r="Y11" s="30"/>
      <c r="Z11" s="31"/>
      <c r="AB11" s="14"/>
      <c r="AC11" s="331" t="s">
        <v>28</v>
      </c>
      <c r="AD11" s="331"/>
      <c r="AE11" s="331"/>
      <c r="AF11" s="374">
        <f>AF9+AF10</f>
        <v>3833075.5272439281</v>
      </c>
      <c r="AG11" s="374"/>
      <c r="AH11" s="374"/>
      <c r="AI11" s="375">
        <f>AL11-AF11</f>
        <v>1179407.854536593</v>
      </c>
      <c r="AJ11" s="375"/>
      <c r="AK11" s="375"/>
      <c r="AL11" s="332">
        <f>AL10+AL9</f>
        <v>5012483.381780521</v>
      </c>
      <c r="AM11" s="332"/>
      <c r="AN11" s="332"/>
      <c r="AO11" s="15"/>
      <c r="AP11" s="1"/>
      <c r="AQ11" s="1"/>
      <c r="AR11" s="1"/>
    </row>
    <row r="12" spans="1:46" ht="15" thickBot="1" x14ac:dyDescent="0.35">
      <c r="E12" s="97"/>
      <c r="F12" s="34"/>
      <c r="G12" s="34"/>
      <c r="H12" s="34"/>
      <c r="I12" s="34"/>
      <c r="J12" s="34"/>
      <c r="K12" s="35"/>
      <c r="L12" s="35"/>
      <c r="M12" s="35"/>
      <c r="N12" s="35"/>
      <c r="O12" s="36"/>
      <c r="P12" s="36"/>
      <c r="Q12" s="36"/>
      <c r="R12" s="36"/>
      <c r="S12" s="36"/>
      <c r="T12" s="36"/>
      <c r="U12" s="36"/>
      <c r="V12" s="36"/>
      <c r="W12" s="35"/>
      <c r="X12" s="35"/>
      <c r="Y12" s="316"/>
      <c r="Z12" s="317"/>
      <c r="AB12" s="17"/>
      <c r="AC12" s="380" t="s">
        <v>118</v>
      </c>
      <c r="AD12" s="380"/>
      <c r="AE12" s="380"/>
      <c r="AF12" s="347">
        <f>SUM(C17:C76)</f>
        <v>-292993.80131493701</v>
      </c>
      <c r="AG12" s="347"/>
      <c r="AH12" s="347"/>
      <c r="AI12" s="16"/>
      <c r="AJ12" s="16"/>
      <c r="AK12" s="16"/>
      <c r="AL12" s="16"/>
      <c r="AM12" s="16"/>
      <c r="AN12" s="16"/>
      <c r="AO12" s="19"/>
      <c r="AP12" s="1"/>
      <c r="AQ12" s="1"/>
      <c r="AR12" s="1"/>
    </row>
    <row r="13" spans="1:46" ht="15.6" thickTop="1" thickBot="1" x14ac:dyDescent="0.35">
      <c r="E13" s="98"/>
      <c r="I13" s="174"/>
      <c r="J13" s="219" t="s">
        <v>152</v>
      </c>
      <c r="K13" s="381">
        <f>IRS!K20</f>
        <v>57000</v>
      </c>
      <c r="L13" s="381"/>
      <c r="M13" s="381"/>
      <c r="N13" t="s">
        <v>137</v>
      </c>
      <c r="R13" t="str">
        <f>"in "&amp;RothCalculations!I2&amp;" years ="</f>
        <v>in 35 years =</v>
      </c>
      <c r="U13" s="382">
        <f>1.01^RothCalculations!I2*'Roth IRA'!K13</f>
        <v>80746.357093782281</v>
      </c>
      <c r="V13" s="382"/>
      <c r="W13" s="382"/>
      <c r="AG13" s="1"/>
      <c r="AH13" s="1"/>
      <c r="AI13" s="1"/>
      <c r="AJ13" s="1"/>
      <c r="AK13" s="1"/>
      <c r="AL13" s="1"/>
      <c r="AP13" s="1"/>
      <c r="AQ13" s="1"/>
    </row>
    <row r="14" spans="1:46" ht="15" thickTop="1" x14ac:dyDescent="0.3">
      <c r="C14" s="163"/>
      <c r="E14" s="99"/>
      <c r="F14" s="43"/>
      <c r="G14" s="43"/>
      <c r="H14" s="43"/>
      <c r="I14" s="43"/>
      <c r="J14" s="43"/>
      <c r="K14" s="43"/>
      <c r="L14" s="43"/>
      <c r="M14" s="43"/>
      <c r="N14" s="43"/>
      <c r="O14" s="43"/>
      <c r="P14" s="43"/>
      <c r="Q14" s="43"/>
      <c r="R14" s="43"/>
      <c r="S14" s="43"/>
      <c r="T14" s="43"/>
      <c r="U14" s="43"/>
      <c r="V14" s="43"/>
      <c r="W14" s="43"/>
      <c r="X14" s="43"/>
      <c r="Y14" s="43"/>
      <c r="Z14" s="40"/>
      <c r="AB14" s="6"/>
      <c r="AC14" s="45"/>
      <c r="AD14" s="45"/>
      <c r="AE14" s="45"/>
      <c r="AF14" s="45"/>
      <c r="AG14" s="45"/>
      <c r="AH14" s="45"/>
      <c r="AI14" s="45"/>
      <c r="AJ14" s="45"/>
      <c r="AK14" s="45"/>
      <c r="AL14" s="45"/>
      <c r="AM14" s="45"/>
      <c r="AN14" s="45"/>
      <c r="AO14" s="10"/>
      <c r="AP14" s="1"/>
      <c r="AQ14" s="1"/>
    </row>
    <row r="15" spans="1:46" ht="27.6" x14ac:dyDescent="0.3">
      <c r="A15" s="68" t="s">
        <v>75</v>
      </c>
      <c r="B15" s="68" t="s">
        <v>147</v>
      </c>
      <c r="C15" s="68" t="s">
        <v>111</v>
      </c>
      <c r="D15" s="127"/>
      <c r="E15" s="289" t="s">
        <v>63</v>
      </c>
      <c r="F15" s="318" t="s">
        <v>3</v>
      </c>
      <c r="G15" s="318"/>
      <c r="H15" s="318" t="s">
        <v>5</v>
      </c>
      <c r="I15" s="318"/>
      <c r="J15" s="318"/>
      <c r="K15" s="318" t="s">
        <v>4</v>
      </c>
      <c r="L15" s="318"/>
      <c r="M15" s="318"/>
      <c r="N15" s="318" t="s">
        <v>123</v>
      </c>
      <c r="O15" s="318"/>
      <c r="P15" s="318"/>
      <c r="Q15" s="318" t="s">
        <v>31</v>
      </c>
      <c r="R15" s="318"/>
      <c r="S15" s="318"/>
      <c r="T15" s="318" t="s">
        <v>69</v>
      </c>
      <c r="U15" s="318"/>
      <c r="V15" s="318"/>
      <c r="W15" s="318" t="s">
        <v>2</v>
      </c>
      <c r="X15" s="318"/>
      <c r="Y15" s="318"/>
      <c r="Z15" s="41"/>
      <c r="AA15" s="4"/>
      <c r="AB15" s="46"/>
      <c r="AC15" s="314" t="s">
        <v>12</v>
      </c>
      <c r="AD15" s="314"/>
      <c r="AE15" s="314"/>
      <c r="AF15" s="314"/>
      <c r="AG15" s="314"/>
      <c r="AH15" s="314"/>
      <c r="AI15" s="314"/>
      <c r="AJ15" s="314"/>
      <c r="AK15" s="314"/>
      <c r="AL15" s="314"/>
      <c r="AM15" s="314"/>
      <c r="AN15" s="314"/>
      <c r="AO15" s="20"/>
      <c r="AP15" s="1"/>
      <c r="AQ15" s="1"/>
      <c r="AR15" s="1"/>
      <c r="AS15" s="1"/>
      <c r="AT15" s="1"/>
    </row>
    <row r="16" spans="1:46" x14ac:dyDescent="0.3">
      <c r="A16" s="68" t="s">
        <v>76</v>
      </c>
      <c r="B16" s="68" t="s">
        <v>37</v>
      </c>
      <c r="C16" s="68" t="s">
        <v>110</v>
      </c>
      <c r="E16" s="289"/>
      <c r="F16" s="318"/>
      <c r="G16" s="318"/>
      <c r="H16" s="318"/>
      <c r="I16" s="318"/>
      <c r="J16" s="318"/>
      <c r="K16" s="318"/>
      <c r="L16" s="318"/>
      <c r="M16" s="318"/>
      <c r="N16" s="318"/>
      <c r="O16" s="318"/>
      <c r="P16" s="318"/>
      <c r="Q16" s="318"/>
      <c r="R16" s="318"/>
      <c r="S16" s="318"/>
      <c r="T16" s="318"/>
      <c r="U16" s="318"/>
      <c r="V16" s="318"/>
      <c r="W16" s="318"/>
      <c r="X16" s="318"/>
      <c r="Y16" s="318"/>
      <c r="Z16" s="41"/>
      <c r="AA16" s="1"/>
      <c r="AB16" s="47"/>
      <c r="AC16" s="7"/>
      <c r="AD16" s="7"/>
      <c r="AE16" s="7"/>
      <c r="AF16" s="7"/>
      <c r="AG16" s="7"/>
      <c r="AH16" s="7"/>
      <c r="AI16" s="7"/>
      <c r="AJ16" s="7"/>
      <c r="AK16" s="7"/>
      <c r="AL16" s="7"/>
      <c r="AM16" s="7"/>
      <c r="AN16" s="48"/>
      <c r="AO16" s="20"/>
      <c r="AP16" s="1"/>
      <c r="AQ16" s="1"/>
    </row>
    <row r="17" spans="1:46" x14ac:dyDescent="0.3">
      <c r="A17" s="91">
        <f>VLOOKUP(B17,IRS!$L$4:$M$10,2,FALSE)</f>
        <v>0.24</v>
      </c>
      <c r="B17" s="92">
        <f>VLOOKUP(K17,IRS!$H$4:$L$10,5)</f>
        <v>0.20374451928965093</v>
      </c>
      <c r="C17" s="93">
        <f>IF(B17="","",-B17*N17)</f>
        <v>-3973.018126148193</v>
      </c>
      <c r="D17" s="3">
        <v>1</v>
      </c>
      <c r="E17" s="131">
        <f>CurrentAge+1</f>
        <v>31</v>
      </c>
      <c r="F17" s="308">
        <f t="shared" ref="F17:F48" si="0">IF(RetirementAge-CurrentAge&gt;=D17,D17,"")</f>
        <v>1</v>
      </c>
      <c r="G17" s="308"/>
      <c r="H17" s="309">
        <f>IF(F17="","",InitialBalance)</f>
        <v>0</v>
      </c>
      <c r="I17" s="309"/>
      <c r="J17" s="309"/>
      <c r="K17" s="309">
        <f t="shared" ref="K17:K48" si="1">IF(F17="","",InitialIncome*POWER((1+IncomeIncreaseRate/100),F17-1))</f>
        <v>100000</v>
      </c>
      <c r="L17" s="309"/>
      <c r="M17" s="309"/>
      <c r="N17" s="310">
        <f t="shared" ref="N17:N48" si="2">IF(F17="","",K17*WithheldRate/100)</f>
        <v>19500</v>
      </c>
      <c r="O17" s="310"/>
      <c r="P17" s="310"/>
      <c r="Q17" s="311">
        <f t="shared" ref="Q17:Q48" si="3">IF(F17="","",K17*EmployerMatchRate/100*MIN(WithheldRate,EmployerMatchUpTo)/100)</f>
        <v>6000</v>
      </c>
      <c r="R17" s="311"/>
      <c r="S17" s="311"/>
      <c r="T17" s="378">
        <f t="shared" ref="T17:T48" si="4">IF(F17="","",-FV(InterestRate/100/PaymentsPerYear,PaymentsPerYear,K17+N17,H17)-(K17+N17+H17))</f>
        <v>1.0186340659856796E-10</v>
      </c>
      <c r="U17" s="378"/>
      <c r="V17" s="378"/>
      <c r="W17" s="313">
        <f>IF(F17="","",H17+N17+Q17+T17)</f>
        <v>25500.000000000102</v>
      </c>
      <c r="X17" s="313"/>
      <c r="Y17" s="313"/>
      <c r="Z17" s="41"/>
      <c r="AA17" s="1"/>
      <c r="AB17" s="47"/>
      <c r="AC17" s="7"/>
      <c r="AD17" s="48"/>
      <c r="AE17" s="48"/>
      <c r="AF17" s="48"/>
      <c r="AG17" s="48"/>
      <c r="AH17" s="48"/>
      <c r="AI17" s="48"/>
      <c r="AJ17" s="48"/>
      <c r="AK17" s="48"/>
      <c r="AL17" s="48"/>
      <c r="AM17" s="48"/>
      <c r="AN17" s="48"/>
      <c r="AO17" s="20"/>
      <c r="AP17" s="1"/>
      <c r="AQ17" s="1"/>
    </row>
    <row r="18" spans="1:46" x14ac:dyDescent="0.3">
      <c r="A18" s="91">
        <f>VLOOKUP(B18,IRS!$L$4:$M$10,2,FALSE)</f>
        <v>0.24</v>
      </c>
      <c r="B18" s="92">
        <f>VLOOKUP(K18,IRS!$H$4:$L$10,5)</f>
        <v>0.20374451928965093</v>
      </c>
      <c r="C18" s="93">
        <f t="shared" ref="C18:C77" si="5">IF(B18="","",-B18*N18)</f>
        <v>-4092.2086699326387</v>
      </c>
      <c r="D18" s="3">
        <v>2</v>
      </c>
      <c r="E18" s="131">
        <f>E17+1</f>
        <v>32</v>
      </c>
      <c r="F18" s="303">
        <f t="shared" si="0"/>
        <v>2</v>
      </c>
      <c r="G18" s="303"/>
      <c r="H18" s="304">
        <f>IF(F18="","",W17)</f>
        <v>25500.000000000102</v>
      </c>
      <c r="I18" s="304"/>
      <c r="J18" s="304"/>
      <c r="K18" s="304">
        <f t="shared" si="1"/>
        <v>103000</v>
      </c>
      <c r="L18" s="304"/>
      <c r="M18" s="304"/>
      <c r="N18" s="305">
        <f t="shared" si="2"/>
        <v>20085</v>
      </c>
      <c r="O18" s="305"/>
      <c r="P18" s="305"/>
      <c r="Q18" s="306">
        <f t="shared" si="3"/>
        <v>6180</v>
      </c>
      <c r="R18" s="306"/>
      <c r="S18" s="306"/>
      <c r="T18" s="379">
        <f t="shared" si="4"/>
        <v>1785.0000000001164</v>
      </c>
      <c r="U18" s="379"/>
      <c r="V18" s="379"/>
      <c r="W18" s="301">
        <f>IF(F18="","",H18+N18+Q18+T18)</f>
        <v>53550.000000000218</v>
      </c>
      <c r="X18" s="301"/>
      <c r="Y18" s="301"/>
      <c r="Z18" s="41"/>
      <c r="AA18" s="1"/>
      <c r="AB18" s="47"/>
      <c r="AC18" s="7"/>
      <c r="AD18" s="48"/>
      <c r="AE18" s="48"/>
      <c r="AF18" s="48"/>
      <c r="AG18" s="48"/>
      <c r="AH18" s="48"/>
      <c r="AI18" s="48"/>
      <c r="AJ18" s="48"/>
      <c r="AK18" s="48"/>
      <c r="AL18" s="48"/>
      <c r="AM18" s="48"/>
      <c r="AN18" s="48"/>
      <c r="AO18" s="20"/>
      <c r="AP18" s="1"/>
      <c r="AQ18" s="1"/>
    </row>
    <row r="19" spans="1:46" x14ac:dyDescent="0.3">
      <c r="A19" s="91">
        <f>VLOOKUP(B19,IRS!$L$4:$M$10,2,FALSE)</f>
        <v>0.24</v>
      </c>
      <c r="B19" s="92">
        <f>VLOOKUP(K19,IRS!$H$4:$L$10,5)</f>
        <v>0.20374451928965093</v>
      </c>
      <c r="C19" s="93">
        <f t="shared" si="5"/>
        <v>-4214.9749300306175</v>
      </c>
      <c r="D19" s="3">
        <v>3</v>
      </c>
      <c r="E19" s="131">
        <f t="shared" ref="E19:E76" si="6">E18+1</f>
        <v>33</v>
      </c>
      <c r="F19" s="308">
        <f t="shared" si="0"/>
        <v>3</v>
      </c>
      <c r="G19" s="308"/>
      <c r="H19" s="309">
        <f t="shared" ref="H19:H76" si="7">IF(F19="","",W18)</f>
        <v>53550.000000000218</v>
      </c>
      <c r="I19" s="309"/>
      <c r="J19" s="309"/>
      <c r="K19" s="309">
        <f t="shared" si="1"/>
        <v>106090</v>
      </c>
      <c r="L19" s="309"/>
      <c r="M19" s="309"/>
      <c r="N19" s="310">
        <f t="shared" si="2"/>
        <v>20687.55</v>
      </c>
      <c r="O19" s="310"/>
      <c r="P19" s="310"/>
      <c r="Q19" s="311">
        <f t="shared" si="3"/>
        <v>6365.4</v>
      </c>
      <c r="R19" s="311"/>
      <c r="S19" s="311"/>
      <c r="T19" s="378">
        <f t="shared" si="4"/>
        <v>3748.5000000001455</v>
      </c>
      <c r="U19" s="378"/>
      <c r="V19" s="378"/>
      <c r="W19" s="313">
        <f t="shared" ref="W19:W76" si="8">IF(F19="","",H19+N19+Q19+T19)</f>
        <v>84351.450000000361</v>
      </c>
      <c r="X19" s="313"/>
      <c r="Y19" s="313"/>
      <c r="Z19" s="41"/>
      <c r="AA19" s="1"/>
      <c r="AB19" s="47"/>
      <c r="AC19" s="7"/>
      <c r="AD19" s="7"/>
      <c r="AE19" s="7"/>
      <c r="AF19" s="7"/>
      <c r="AG19" s="7"/>
      <c r="AH19" s="7"/>
      <c r="AI19" s="7"/>
      <c r="AJ19" s="7"/>
      <c r="AK19" s="7"/>
      <c r="AL19" s="7"/>
      <c r="AM19" s="7"/>
      <c r="AN19" s="7"/>
      <c r="AO19" s="9"/>
      <c r="AP19" s="1"/>
      <c r="AQ19" s="1"/>
    </row>
    <row r="20" spans="1:46" x14ac:dyDescent="0.3">
      <c r="A20" s="91">
        <f>VLOOKUP(B20,IRS!$L$4:$M$10,2,FALSE)</f>
        <v>0.24</v>
      </c>
      <c r="B20" s="92">
        <f>VLOOKUP(K20,IRS!$H$4:$L$10,5)</f>
        <v>0.20374451928965093</v>
      </c>
      <c r="C20" s="93">
        <f t="shared" si="5"/>
        <v>-4341.4241779315362</v>
      </c>
      <c r="D20" s="3">
        <v>4</v>
      </c>
      <c r="E20" s="131">
        <f t="shared" si="6"/>
        <v>34</v>
      </c>
      <c r="F20" s="303">
        <f t="shared" si="0"/>
        <v>4</v>
      </c>
      <c r="G20" s="303"/>
      <c r="H20" s="304">
        <f t="shared" si="7"/>
        <v>84351.450000000361</v>
      </c>
      <c r="I20" s="304"/>
      <c r="J20" s="304"/>
      <c r="K20" s="304">
        <f t="shared" si="1"/>
        <v>109272.7</v>
      </c>
      <c r="L20" s="304"/>
      <c r="M20" s="304"/>
      <c r="N20" s="305">
        <f t="shared" si="2"/>
        <v>21308.176499999998</v>
      </c>
      <c r="O20" s="305"/>
      <c r="P20" s="305"/>
      <c r="Q20" s="306">
        <f t="shared" si="3"/>
        <v>6556.3619999999992</v>
      </c>
      <c r="R20" s="306"/>
      <c r="S20" s="306"/>
      <c r="T20" s="379">
        <f t="shared" si="4"/>
        <v>5904.6015000001353</v>
      </c>
      <c r="U20" s="379"/>
      <c r="V20" s="379"/>
      <c r="W20" s="301">
        <f t="shared" si="8"/>
        <v>118120.59000000049</v>
      </c>
      <c r="X20" s="301"/>
      <c r="Y20" s="301"/>
      <c r="Z20" s="41"/>
      <c r="AA20" s="1"/>
      <c r="AB20" s="47"/>
      <c r="AC20" s="7"/>
      <c r="AD20" s="7"/>
      <c r="AE20" s="7"/>
      <c r="AF20" s="7"/>
      <c r="AG20" s="7"/>
      <c r="AH20" s="7"/>
      <c r="AI20" s="7"/>
      <c r="AJ20" s="7"/>
      <c r="AK20" s="7"/>
      <c r="AL20" s="7"/>
      <c r="AM20" s="7"/>
      <c r="AN20" s="7"/>
      <c r="AO20" s="9"/>
      <c r="AP20" s="1"/>
      <c r="AQ20" s="1"/>
    </row>
    <row r="21" spans="1:46" x14ac:dyDescent="0.3">
      <c r="A21" s="91">
        <f>VLOOKUP(B21,IRS!$L$4:$M$10,2,FALSE)</f>
        <v>0.24</v>
      </c>
      <c r="B21" s="92">
        <f>VLOOKUP(K21,IRS!$H$4:$L$10,5)</f>
        <v>0.20374451928965093</v>
      </c>
      <c r="C21" s="93">
        <f t="shared" si="5"/>
        <v>-4471.6669032694826</v>
      </c>
      <c r="D21" s="3">
        <v>5</v>
      </c>
      <c r="E21" s="131">
        <f t="shared" si="6"/>
        <v>35</v>
      </c>
      <c r="F21" s="308">
        <f t="shared" si="0"/>
        <v>5</v>
      </c>
      <c r="G21" s="308"/>
      <c r="H21" s="309">
        <f t="shared" si="7"/>
        <v>118120.59000000049</v>
      </c>
      <c r="I21" s="309"/>
      <c r="J21" s="309"/>
      <c r="K21" s="309">
        <f t="shared" si="1"/>
        <v>112550.88099999999</v>
      </c>
      <c r="L21" s="309"/>
      <c r="M21" s="309"/>
      <c r="N21" s="310">
        <f t="shared" si="2"/>
        <v>21947.421795000002</v>
      </c>
      <c r="O21" s="310"/>
      <c r="P21" s="310"/>
      <c r="Q21" s="311">
        <f t="shared" si="3"/>
        <v>6753.0528599999998</v>
      </c>
      <c r="R21" s="311"/>
      <c r="S21" s="311"/>
      <c r="T21" s="378">
        <f t="shared" si="4"/>
        <v>8268.4413000001514</v>
      </c>
      <c r="U21" s="378"/>
      <c r="V21" s="378"/>
      <c r="W21" s="313">
        <f t="shared" si="8"/>
        <v>155089.50595500064</v>
      </c>
      <c r="X21" s="313"/>
      <c r="Y21" s="313"/>
      <c r="Z21" s="41"/>
      <c r="AA21" s="1"/>
      <c r="AB21" s="47"/>
      <c r="AC21" s="7"/>
      <c r="AD21" s="7"/>
      <c r="AE21" s="7"/>
      <c r="AF21" s="7"/>
      <c r="AG21" s="7"/>
      <c r="AH21" s="7"/>
      <c r="AI21" s="7"/>
      <c r="AJ21" s="7"/>
      <c r="AK21" s="7"/>
      <c r="AL21" s="7"/>
      <c r="AM21" s="7"/>
      <c r="AN21" s="7"/>
      <c r="AO21" s="9"/>
      <c r="AP21" s="1"/>
      <c r="AQ21" s="1"/>
    </row>
    <row r="22" spans="1:46" x14ac:dyDescent="0.3">
      <c r="A22" s="91">
        <f>VLOOKUP(B22,IRS!$L$4:$M$10,2,FALSE)</f>
        <v>0.24</v>
      </c>
      <c r="B22" s="92">
        <f>VLOOKUP(K22,IRS!$H$4:$L$10,5)</f>
        <v>0.20374451928965093</v>
      </c>
      <c r="C22" s="93">
        <f t="shared" si="5"/>
        <v>-4605.8169103675664</v>
      </c>
      <c r="D22" s="3">
        <v>6</v>
      </c>
      <c r="E22" s="131">
        <f t="shared" si="6"/>
        <v>36</v>
      </c>
      <c r="F22" s="303">
        <f t="shared" si="0"/>
        <v>6</v>
      </c>
      <c r="G22" s="303"/>
      <c r="H22" s="304">
        <f t="shared" si="7"/>
        <v>155089.50595500064</v>
      </c>
      <c r="I22" s="304"/>
      <c r="J22" s="304"/>
      <c r="K22" s="304">
        <f t="shared" si="1"/>
        <v>115927.40742999998</v>
      </c>
      <c r="L22" s="304"/>
      <c r="M22" s="304"/>
      <c r="N22" s="305">
        <f t="shared" si="2"/>
        <v>22605.844448849995</v>
      </c>
      <c r="O22" s="305"/>
      <c r="P22" s="305"/>
      <c r="Q22" s="306">
        <f t="shared" si="3"/>
        <v>6955.6444457999978</v>
      </c>
      <c r="R22" s="306"/>
      <c r="S22" s="306"/>
      <c r="T22" s="379">
        <f t="shared" si="4"/>
        <v>10856.265416850161</v>
      </c>
      <c r="U22" s="379"/>
      <c r="V22" s="379"/>
      <c r="W22" s="301">
        <f t="shared" si="8"/>
        <v>195507.26026650079</v>
      </c>
      <c r="X22" s="301"/>
      <c r="Y22" s="301"/>
      <c r="Z22" s="41"/>
      <c r="AA22" s="1"/>
      <c r="AB22" s="47"/>
      <c r="AC22" s="7"/>
      <c r="AD22" s="7"/>
      <c r="AE22" s="7"/>
      <c r="AF22" s="7"/>
      <c r="AG22" s="7"/>
      <c r="AH22" s="7"/>
      <c r="AI22" s="7"/>
      <c r="AJ22" s="7"/>
      <c r="AK22" s="7"/>
      <c r="AL22" s="7"/>
      <c r="AM22" s="7"/>
      <c r="AN22" s="7"/>
      <c r="AO22" s="9"/>
      <c r="AP22" s="1"/>
      <c r="AQ22" s="1"/>
    </row>
    <row r="23" spans="1:46" x14ac:dyDescent="0.3">
      <c r="A23" s="91">
        <f>VLOOKUP(B23,IRS!$L$4:$M$10,2,FALSE)</f>
        <v>0.24</v>
      </c>
      <c r="B23" s="92">
        <f>VLOOKUP(K23,IRS!$H$4:$L$10,5)</f>
        <v>0.20374451928965093</v>
      </c>
      <c r="C23" s="93">
        <f t="shared" si="5"/>
        <v>-4743.9914176785933</v>
      </c>
      <c r="D23" s="3">
        <v>7</v>
      </c>
      <c r="E23" s="131">
        <f t="shared" si="6"/>
        <v>37</v>
      </c>
      <c r="F23" s="308">
        <f t="shared" si="0"/>
        <v>7</v>
      </c>
      <c r="G23" s="308"/>
      <c r="H23" s="309">
        <f t="shared" si="7"/>
        <v>195507.26026650079</v>
      </c>
      <c r="I23" s="309"/>
      <c r="J23" s="309"/>
      <c r="K23" s="309">
        <f t="shared" si="1"/>
        <v>119405.22965289999</v>
      </c>
      <c r="L23" s="309"/>
      <c r="M23" s="309"/>
      <c r="N23" s="310">
        <f t="shared" si="2"/>
        <v>23284.019782315496</v>
      </c>
      <c r="O23" s="310"/>
      <c r="P23" s="310"/>
      <c r="Q23" s="311">
        <f t="shared" si="3"/>
        <v>7164.3137791739982</v>
      </c>
      <c r="R23" s="311"/>
      <c r="S23" s="311"/>
      <c r="T23" s="378">
        <f t="shared" si="4"/>
        <v>13685.508218655246</v>
      </c>
      <c r="U23" s="378"/>
      <c r="V23" s="378"/>
      <c r="W23" s="313">
        <f t="shared" si="8"/>
        <v>239641.10204664554</v>
      </c>
      <c r="X23" s="313"/>
      <c r="Y23" s="313"/>
      <c r="Z23" s="41"/>
      <c r="AA23" s="1"/>
      <c r="AB23" s="47"/>
      <c r="AC23" s="7"/>
      <c r="AD23" s="7"/>
      <c r="AE23" s="7"/>
      <c r="AF23" s="7"/>
      <c r="AG23" s="7"/>
      <c r="AH23" s="7"/>
      <c r="AI23" s="7"/>
      <c r="AJ23" s="7"/>
      <c r="AK23" s="7"/>
      <c r="AL23" s="7"/>
      <c r="AM23" s="7"/>
      <c r="AN23" s="7"/>
      <c r="AO23" s="9"/>
      <c r="AP23" s="1"/>
      <c r="AQ23" s="1"/>
    </row>
    <row r="24" spans="1:46" x14ac:dyDescent="0.3">
      <c r="A24" s="91">
        <f>VLOOKUP(B24,IRS!$L$4:$M$10,2,FALSE)</f>
        <v>0.24</v>
      </c>
      <c r="B24" s="92">
        <f>VLOOKUP(K24,IRS!$H$4:$L$10,5)</f>
        <v>0.20374451928965093</v>
      </c>
      <c r="C24" s="93">
        <f t="shared" si="5"/>
        <v>-4886.3111602089521</v>
      </c>
      <c r="D24" s="3">
        <v>8</v>
      </c>
      <c r="E24" s="131">
        <f t="shared" si="6"/>
        <v>38</v>
      </c>
      <c r="F24" s="303">
        <f t="shared" si="0"/>
        <v>8</v>
      </c>
      <c r="G24" s="303"/>
      <c r="H24" s="304">
        <f t="shared" si="7"/>
        <v>239641.10204664554</v>
      </c>
      <c r="I24" s="304"/>
      <c r="J24" s="304"/>
      <c r="K24" s="304">
        <f t="shared" si="1"/>
        <v>122987.386542487</v>
      </c>
      <c r="L24" s="304"/>
      <c r="M24" s="304"/>
      <c r="N24" s="305">
        <f t="shared" si="2"/>
        <v>23982.540375784967</v>
      </c>
      <c r="O24" s="305"/>
      <c r="P24" s="305"/>
      <c r="Q24" s="306">
        <f t="shared" si="3"/>
        <v>7379.2431925492201</v>
      </c>
      <c r="R24" s="306"/>
      <c r="S24" s="306"/>
      <c r="T24" s="379">
        <f t="shared" si="4"/>
        <v>16774.87714326533</v>
      </c>
      <c r="U24" s="379"/>
      <c r="V24" s="379"/>
      <c r="W24" s="301">
        <f t="shared" si="8"/>
        <v>287777.76275824505</v>
      </c>
      <c r="X24" s="301"/>
      <c r="Y24" s="301"/>
      <c r="Z24" s="41"/>
      <c r="AA24" s="1"/>
      <c r="AB24" s="47"/>
      <c r="AC24" s="7"/>
      <c r="AD24" s="7"/>
      <c r="AE24" s="7"/>
      <c r="AF24" s="7"/>
      <c r="AG24" s="7"/>
      <c r="AH24" s="7"/>
      <c r="AI24" s="7"/>
      <c r="AJ24" s="7"/>
      <c r="AK24" s="7"/>
      <c r="AL24" s="7"/>
      <c r="AM24" s="7"/>
      <c r="AN24" s="7"/>
      <c r="AO24" s="9"/>
      <c r="AP24" s="1"/>
      <c r="AQ24" s="1"/>
    </row>
    <row r="25" spans="1:46" x14ac:dyDescent="0.3">
      <c r="A25" s="91">
        <f>VLOOKUP(B25,IRS!$L$4:$M$10,2,FALSE)</f>
        <v>0.24</v>
      </c>
      <c r="B25" s="92">
        <f>VLOOKUP(K25,IRS!$H$4:$L$10,5)</f>
        <v>0.20374451928965093</v>
      </c>
      <c r="C25" s="93">
        <f t="shared" si="5"/>
        <v>-5032.9004950152203</v>
      </c>
      <c r="D25" s="3">
        <v>9</v>
      </c>
      <c r="E25" s="131">
        <f t="shared" si="6"/>
        <v>39</v>
      </c>
      <c r="F25" s="308">
        <f t="shared" si="0"/>
        <v>9</v>
      </c>
      <c r="G25" s="308"/>
      <c r="H25" s="309">
        <f t="shared" si="7"/>
        <v>287777.76275824505</v>
      </c>
      <c r="I25" s="309"/>
      <c r="J25" s="309"/>
      <c r="K25" s="309">
        <f t="shared" si="1"/>
        <v>126677.00813876159</v>
      </c>
      <c r="L25" s="309"/>
      <c r="M25" s="309"/>
      <c r="N25" s="310">
        <f t="shared" si="2"/>
        <v>24702.016587058512</v>
      </c>
      <c r="O25" s="310"/>
      <c r="P25" s="310"/>
      <c r="Q25" s="311">
        <f t="shared" si="3"/>
        <v>7600.6204883256951</v>
      </c>
      <c r="R25" s="311"/>
      <c r="S25" s="311"/>
      <c r="T25" s="378">
        <f t="shared" si="4"/>
        <v>20144.443393077352</v>
      </c>
      <c r="U25" s="378"/>
      <c r="V25" s="378"/>
      <c r="W25" s="313">
        <f t="shared" si="8"/>
        <v>340224.84322670661</v>
      </c>
      <c r="X25" s="313"/>
      <c r="Y25" s="313"/>
      <c r="Z25" s="41"/>
      <c r="AA25" s="1"/>
      <c r="AB25" s="47"/>
      <c r="AC25" s="7"/>
      <c r="AD25" s="7"/>
      <c r="AE25" s="7"/>
      <c r="AF25" s="7"/>
      <c r="AG25" s="7"/>
      <c r="AH25" s="7"/>
      <c r="AI25" s="7"/>
      <c r="AJ25" s="7"/>
      <c r="AK25" s="7"/>
      <c r="AL25" s="7"/>
      <c r="AM25" s="7"/>
      <c r="AN25" s="7"/>
      <c r="AO25" s="9"/>
      <c r="AP25" s="1"/>
      <c r="AQ25" s="1"/>
      <c r="AR25" s="1"/>
      <c r="AS25" s="1"/>
      <c r="AT25" s="1"/>
    </row>
    <row r="26" spans="1:46" x14ac:dyDescent="0.3">
      <c r="A26" s="91">
        <f>VLOOKUP(B26,IRS!$L$4:$M$10,2,FALSE)</f>
        <v>0.24</v>
      </c>
      <c r="B26" s="92">
        <f>VLOOKUP(K26,IRS!$H$4:$L$10,5)</f>
        <v>0.20374451928965093</v>
      </c>
      <c r="C26" s="93">
        <f t="shared" si="5"/>
        <v>-5183.8875098656763</v>
      </c>
      <c r="D26" s="3">
        <v>10</v>
      </c>
      <c r="E26" s="131">
        <f t="shared" si="6"/>
        <v>40</v>
      </c>
      <c r="F26" s="303">
        <f t="shared" si="0"/>
        <v>10</v>
      </c>
      <c r="G26" s="303"/>
      <c r="H26" s="304">
        <f t="shared" si="7"/>
        <v>340224.84322670661</v>
      </c>
      <c r="I26" s="304"/>
      <c r="J26" s="304"/>
      <c r="K26" s="304">
        <f t="shared" si="1"/>
        <v>130477.31838292445</v>
      </c>
      <c r="L26" s="304"/>
      <c r="M26" s="304"/>
      <c r="N26" s="305">
        <f t="shared" si="2"/>
        <v>25443.077084670265</v>
      </c>
      <c r="O26" s="305"/>
      <c r="P26" s="305"/>
      <c r="Q26" s="306">
        <f t="shared" si="3"/>
        <v>7828.6391029754677</v>
      </c>
      <c r="R26" s="306"/>
      <c r="S26" s="306"/>
      <c r="T26" s="379">
        <f t="shared" si="4"/>
        <v>23815.73902586964</v>
      </c>
      <c r="U26" s="379"/>
      <c r="V26" s="379"/>
      <c r="W26" s="301">
        <f t="shared" si="8"/>
        <v>397312.29844022199</v>
      </c>
      <c r="X26" s="301"/>
      <c r="Y26" s="301"/>
      <c r="Z26" s="41"/>
      <c r="AA26" s="1"/>
      <c r="AB26" s="47"/>
      <c r="AC26" s="7"/>
      <c r="AD26" s="7"/>
      <c r="AE26" s="7"/>
      <c r="AF26" s="7"/>
      <c r="AG26" s="7"/>
      <c r="AH26" s="7"/>
      <c r="AI26" s="7"/>
      <c r="AJ26" s="7"/>
      <c r="AK26" s="7"/>
      <c r="AL26" s="7"/>
      <c r="AM26" s="7"/>
      <c r="AN26" s="7"/>
      <c r="AO26" s="9"/>
      <c r="AP26" s="1"/>
      <c r="AQ26" s="1"/>
      <c r="AR26" s="1"/>
      <c r="AS26" s="1"/>
      <c r="AT26" s="1"/>
    </row>
    <row r="27" spans="1:46" x14ac:dyDescent="0.3">
      <c r="A27" s="91">
        <f>VLOOKUP(B27,IRS!$L$4:$M$10,2,FALSE)</f>
        <v>0.24</v>
      </c>
      <c r="B27" s="92">
        <f>VLOOKUP(K27,IRS!$H$4:$L$10,5)</f>
        <v>0.20374451928965093</v>
      </c>
      <c r="C27" s="93">
        <f t="shared" si="5"/>
        <v>-5339.4041351616461</v>
      </c>
      <c r="D27" s="3">
        <v>11</v>
      </c>
      <c r="E27" s="131">
        <f t="shared" si="6"/>
        <v>41</v>
      </c>
      <c r="F27" s="308">
        <f t="shared" si="0"/>
        <v>11</v>
      </c>
      <c r="G27" s="308"/>
      <c r="H27" s="309">
        <f t="shared" si="7"/>
        <v>397312.29844022199</v>
      </c>
      <c r="I27" s="309"/>
      <c r="J27" s="309"/>
      <c r="K27" s="309">
        <f t="shared" si="1"/>
        <v>134391.63793441217</v>
      </c>
      <c r="L27" s="309"/>
      <c r="M27" s="309"/>
      <c r="N27" s="310">
        <f t="shared" si="2"/>
        <v>26206.369397210372</v>
      </c>
      <c r="O27" s="310"/>
      <c r="P27" s="310"/>
      <c r="Q27" s="311">
        <f t="shared" si="3"/>
        <v>8063.4982760647299</v>
      </c>
      <c r="R27" s="311"/>
      <c r="S27" s="311"/>
      <c r="T27" s="378">
        <f t="shared" si="4"/>
        <v>27811.860890815733</v>
      </c>
      <c r="U27" s="378"/>
      <c r="V27" s="378"/>
      <c r="W27" s="313">
        <f t="shared" si="8"/>
        <v>459394.02700431284</v>
      </c>
      <c r="X27" s="313"/>
      <c r="Y27" s="313"/>
      <c r="Z27" s="41"/>
      <c r="AA27" s="1"/>
      <c r="AB27" s="47"/>
      <c r="AC27" s="7"/>
      <c r="AD27" s="7"/>
      <c r="AE27" s="7"/>
      <c r="AF27" s="7"/>
      <c r="AG27" s="7"/>
      <c r="AH27" s="7"/>
      <c r="AI27" s="7"/>
      <c r="AJ27" s="7"/>
      <c r="AK27" s="7"/>
      <c r="AL27" s="7"/>
      <c r="AM27" s="7"/>
      <c r="AN27" s="7"/>
      <c r="AO27" s="9"/>
      <c r="AP27" s="1"/>
      <c r="AQ27" s="1"/>
      <c r="AR27" s="1"/>
      <c r="AS27" s="1"/>
      <c r="AT27" s="1"/>
    </row>
    <row r="28" spans="1:46" x14ac:dyDescent="0.3">
      <c r="A28" s="91">
        <f>VLOOKUP(B28,IRS!$L$4:$M$10,2,FALSE)</f>
        <v>0.24</v>
      </c>
      <c r="B28" s="92">
        <f>VLOOKUP(K28,IRS!$H$4:$L$10,5)</f>
        <v>0.20374451928965093</v>
      </c>
      <c r="C28" s="93">
        <f t="shared" si="5"/>
        <v>-5499.5862592164958</v>
      </c>
      <c r="D28" s="3">
        <v>12</v>
      </c>
      <c r="E28" s="131">
        <f t="shared" si="6"/>
        <v>42</v>
      </c>
      <c r="F28" s="303">
        <f t="shared" si="0"/>
        <v>12</v>
      </c>
      <c r="G28" s="303"/>
      <c r="H28" s="304">
        <f t="shared" si="7"/>
        <v>459394.02700431284</v>
      </c>
      <c r="I28" s="304"/>
      <c r="J28" s="304"/>
      <c r="K28" s="304">
        <f t="shared" si="1"/>
        <v>138423.38707244454</v>
      </c>
      <c r="L28" s="304"/>
      <c r="M28" s="304"/>
      <c r="N28" s="305">
        <f t="shared" si="2"/>
        <v>26992.560479126685</v>
      </c>
      <c r="O28" s="305"/>
      <c r="P28" s="305"/>
      <c r="Q28" s="306">
        <f t="shared" si="3"/>
        <v>8305.4032243466718</v>
      </c>
      <c r="R28" s="306"/>
      <c r="S28" s="306"/>
      <c r="T28" s="379">
        <f t="shared" si="4"/>
        <v>32157.581890302128</v>
      </c>
      <c r="U28" s="379"/>
      <c r="V28" s="379"/>
      <c r="W28" s="301">
        <f t="shared" si="8"/>
        <v>526849.5725980883</v>
      </c>
      <c r="X28" s="301"/>
      <c r="Y28" s="301"/>
      <c r="Z28" s="41"/>
      <c r="AA28" s="1"/>
      <c r="AB28" s="47"/>
      <c r="AC28" s="7"/>
      <c r="AD28" s="7"/>
      <c r="AE28" s="7"/>
      <c r="AF28" s="7"/>
      <c r="AG28" s="7"/>
      <c r="AH28" s="7"/>
      <c r="AI28" s="7"/>
      <c r="AJ28" s="7"/>
      <c r="AK28" s="7"/>
      <c r="AL28" s="7"/>
      <c r="AM28" s="7"/>
      <c r="AN28" s="7"/>
      <c r="AO28" s="9"/>
      <c r="AP28" s="1"/>
      <c r="AQ28" s="1"/>
      <c r="AR28" s="1"/>
      <c r="AS28" s="1"/>
      <c r="AT28" s="1"/>
    </row>
    <row r="29" spans="1:46" x14ac:dyDescent="0.3">
      <c r="A29" s="91">
        <f>VLOOKUP(B29,IRS!$L$4:$M$10,2,FALSE)</f>
        <v>0.24</v>
      </c>
      <c r="B29" s="92">
        <f>VLOOKUP(K29,IRS!$H$4:$L$10,5)</f>
        <v>0.20374451928965093</v>
      </c>
      <c r="C29" s="93">
        <f t="shared" si="5"/>
        <v>-5664.5738469929902</v>
      </c>
      <c r="D29" s="3">
        <v>13</v>
      </c>
      <c r="E29" s="131">
        <f t="shared" si="6"/>
        <v>43</v>
      </c>
      <c r="F29" s="308">
        <f t="shared" si="0"/>
        <v>13</v>
      </c>
      <c r="G29" s="308"/>
      <c r="H29" s="309">
        <f t="shared" si="7"/>
        <v>526849.5725980883</v>
      </c>
      <c r="I29" s="309"/>
      <c r="J29" s="309"/>
      <c r="K29" s="309">
        <f t="shared" si="1"/>
        <v>142576.08868461786</v>
      </c>
      <c r="L29" s="309"/>
      <c r="M29" s="309"/>
      <c r="N29" s="310">
        <f t="shared" si="2"/>
        <v>27802.337293500481</v>
      </c>
      <c r="O29" s="310"/>
      <c r="P29" s="310"/>
      <c r="Q29" s="311">
        <f t="shared" si="3"/>
        <v>8554.5653210770706</v>
      </c>
      <c r="R29" s="311"/>
      <c r="S29" s="311"/>
      <c r="T29" s="378">
        <f t="shared" si="4"/>
        <v>36879.470081866486</v>
      </c>
      <c r="U29" s="378"/>
      <c r="V29" s="378"/>
      <c r="W29" s="313">
        <f t="shared" si="8"/>
        <v>600085.94529453234</v>
      </c>
      <c r="X29" s="313"/>
      <c r="Y29" s="313"/>
      <c r="Z29" s="41"/>
      <c r="AA29" s="1"/>
      <c r="AB29" s="47"/>
      <c r="AC29" s="7"/>
      <c r="AD29" s="7"/>
      <c r="AE29" s="7"/>
      <c r="AF29" s="7"/>
      <c r="AG29" s="7"/>
      <c r="AH29" s="7"/>
      <c r="AI29" s="7"/>
      <c r="AJ29" s="7"/>
      <c r="AK29" s="7"/>
      <c r="AL29" s="7"/>
      <c r="AM29" s="7"/>
      <c r="AN29" s="7"/>
      <c r="AO29" s="9"/>
      <c r="AP29" s="1"/>
      <c r="AQ29" s="1"/>
      <c r="AR29" s="1"/>
      <c r="AS29" s="1"/>
      <c r="AT29" s="1"/>
    </row>
    <row r="30" spans="1:46" x14ac:dyDescent="0.3">
      <c r="A30" s="91">
        <f>VLOOKUP(B30,IRS!$L$4:$M$10,2,FALSE)</f>
        <v>0.24</v>
      </c>
      <c r="B30" s="92">
        <f>VLOOKUP(K30,IRS!$H$4:$L$10,5)</f>
        <v>0.20374451928965093</v>
      </c>
      <c r="C30" s="93">
        <f t="shared" si="5"/>
        <v>-5834.5110624027802</v>
      </c>
      <c r="D30" s="3">
        <v>14</v>
      </c>
      <c r="E30" s="131">
        <f t="shared" si="6"/>
        <v>44</v>
      </c>
      <c r="F30" s="303">
        <f t="shared" si="0"/>
        <v>14</v>
      </c>
      <c r="G30" s="303"/>
      <c r="H30" s="304">
        <f t="shared" si="7"/>
        <v>600085.94529453234</v>
      </c>
      <c r="I30" s="304"/>
      <c r="J30" s="304"/>
      <c r="K30" s="304">
        <f t="shared" si="1"/>
        <v>146853.3713451564</v>
      </c>
      <c r="L30" s="304"/>
      <c r="M30" s="304"/>
      <c r="N30" s="305">
        <f t="shared" si="2"/>
        <v>28636.407412305496</v>
      </c>
      <c r="O30" s="305"/>
      <c r="P30" s="305"/>
      <c r="Q30" s="306">
        <f t="shared" si="3"/>
        <v>8811.2022807093836</v>
      </c>
      <c r="R30" s="306"/>
      <c r="S30" s="306"/>
      <c r="T30" s="379">
        <f t="shared" si="4"/>
        <v>42006.016170617426</v>
      </c>
      <c r="U30" s="379"/>
      <c r="V30" s="379"/>
      <c r="W30" s="301">
        <f t="shared" si="8"/>
        <v>679539.57115816465</v>
      </c>
      <c r="X30" s="301"/>
      <c r="Y30" s="301"/>
      <c r="Z30" s="41"/>
      <c r="AA30" s="1"/>
      <c r="AB30" s="47"/>
      <c r="AC30" s="315"/>
      <c r="AD30" s="315"/>
      <c r="AE30" s="315"/>
      <c r="AF30" s="315"/>
      <c r="AG30" s="315"/>
      <c r="AH30" s="315"/>
      <c r="AI30" s="315"/>
      <c r="AJ30" s="315"/>
      <c r="AK30" s="315"/>
      <c r="AL30" s="315"/>
      <c r="AM30" s="315"/>
      <c r="AN30" s="315"/>
      <c r="AO30" s="9"/>
      <c r="AP30" s="1"/>
      <c r="AQ30" s="1"/>
      <c r="AR30" s="1"/>
    </row>
    <row r="31" spans="1:46" x14ac:dyDescent="0.3">
      <c r="A31" s="91">
        <f>VLOOKUP(B31,IRS!$L$4:$M$10,2,FALSE)</f>
        <v>0.24</v>
      </c>
      <c r="B31" s="92">
        <f>VLOOKUP(K31,IRS!$H$4:$L$10,5)</f>
        <v>0.20374451928965093</v>
      </c>
      <c r="C31" s="93">
        <f t="shared" si="5"/>
        <v>-6009.5463942748647</v>
      </c>
      <c r="D31" s="3">
        <v>15</v>
      </c>
      <c r="E31" s="131">
        <f t="shared" si="6"/>
        <v>45</v>
      </c>
      <c r="F31" s="308">
        <f t="shared" si="0"/>
        <v>15</v>
      </c>
      <c r="G31" s="308"/>
      <c r="H31" s="309">
        <f t="shared" si="7"/>
        <v>679539.57115816465</v>
      </c>
      <c r="I31" s="309"/>
      <c r="J31" s="309"/>
      <c r="K31" s="309">
        <f t="shared" si="1"/>
        <v>151258.9724855111</v>
      </c>
      <c r="L31" s="309"/>
      <c r="M31" s="309"/>
      <c r="N31" s="310">
        <f t="shared" si="2"/>
        <v>29495.499634674667</v>
      </c>
      <c r="O31" s="310"/>
      <c r="P31" s="310"/>
      <c r="Q31" s="311">
        <f t="shared" si="3"/>
        <v>9075.5383491306657</v>
      </c>
      <c r="R31" s="311"/>
      <c r="S31" s="311"/>
      <c r="T31" s="378">
        <f t="shared" si="4"/>
        <v>47567.769981071819</v>
      </c>
      <c r="U31" s="378"/>
      <c r="V31" s="378"/>
      <c r="W31" s="313">
        <f t="shared" si="8"/>
        <v>765678.37912304176</v>
      </c>
      <c r="X31" s="313"/>
      <c r="Y31" s="313"/>
      <c r="Z31" s="41"/>
      <c r="AA31" s="1"/>
      <c r="AB31" s="47"/>
      <c r="AC31" s="7"/>
      <c r="AD31" s="7"/>
      <c r="AE31" s="7"/>
      <c r="AF31" s="7"/>
      <c r="AG31" s="7"/>
      <c r="AH31" s="7"/>
      <c r="AI31" s="7"/>
      <c r="AJ31" s="7"/>
      <c r="AK31" s="7"/>
      <c r="AL31" s="7"/>
      <c r="AM31" s="7"/>
      <c r="AN31" s="7"/>
      <c r="AO31" s="9"/>
      <c r="AP31" s="1"/>
      <c r="AQ31" s="1"/>
      <c r="AR31" s="1"/>
    </row>
    <row r="32" spans="1:46" ht="15.6" x14ac:dyDescent="0.3">
      <c r="A32" s="91">
        <f>VLOOKUP(B32,IRS!$L$4:$M$10,2,FALSE)</f>
        <v>0.24</v>
      </c>
      <c r="B32" s="92">
        <f>VLOOKUP(K32,IRS!$H$4:$L$10,5)</f>
        <v>0.20374451928965093</v>
      </c>
      <c r="C32" s="93">
        <f t="shared" si="5"/>
        <v>-6189.8327861031103</v>
      </c>
      <c r="D32" s="3">
        <v>16</v>
      </c>
      <c r="E32" s="131">
        <f t="shared" si="6"/>
        <v>46</v>
      </c>
      <c r="F32" s="303">
        <f t="shared" si="0"/>
        <v>16</v>
      </c>
      <c r="G32" s="303"/>
      <c r="H32" s="304">
        <f t="shared" si="7"/>
        <v>765678.37912304176</v>
      </c>
      <c r="I32" s="304"/>
      <c r="J32" s="304"/>
      <c r="K32" s="304">
        <f t="shared" si="1"/>
        <v>155796.74166007646</v>
      </c>
      <c r="L32" s="304"/>
      <c r="M32" s="304"/>
      <c r="N32" s="305">
        <f t="shared" si="2"/>
        <v>30380.364623714908</v>
      </c>
      <c r="O32" s="305"/>
      <c r="P32" s="305"/>
      <c r="Q32" s="306">
        <f t="shared" si="3"/>
        <v>9347.8044996045883</v>
      </c>
      <c r="R32" s="306"/>
      <c r="S32" s="306"/>
      <c r="T32" s="379">
        <f t="shared" si="4"/>
        <v>53597.486538613099</v>
      </c>
      <c r="U32" s="379"/>
      <c r="V32" s="379"/>
      <c r="W32" s="301">
        <f t="shared" si="8"/>
        <v>859004.03478497441</v>
      </c>
      <c r="X32" s="301"/>
      <c r="Y32" s="301"/>
      <c r="Z32" s="41"/>
      <c r="AA32" s="1"/>
      <c r="AB32" s="47"/>
      <c r="AC32" s="314" t="s">
        <v>133</v>
      </c>
      <c r="AD32" s="314"/>
      <c r="AE32" s="314"/>
      <c r="AF32" s="314"/>
      <c r="AG32" s="314"/>
      <c r="AH32" s="314"/>
      <c r="AI32" s="314"/>
      <c r="AJ32" s="314"/>
      <c r="AK32" s="314"/>
      <c r="AL32" s="314"/>
      <c r="AM32" s="314"/>
      <c r="AN32" s="314"/>
      <c r="AO32" s="9"/>
      <c r="AP32" s="1"/>
      <c r="AQ32" s="1"/>
      <c r="AR32" s="1"/>
    </row>
    <row r="33" spans="1:44" x14ac:dyDescent="0.3">
      <c r="A33" s="91">
        <f>VLOOKUP(B33,IRS!$L$4:$M$10,2,FALSE)</f>
        <v>0.24</v>
      </c>
      <c r="B33" s="92">
        <f>VLOOKUP(K33,IRS!$H$4:$L$10,5)</f>
        <v>0.20374451928965093</v>
      </c>
      <c r="C33" s="93">
        <f t="shared" si="5"/>
        <v>-6375.5277696862031</v>
      </c>
      <c r="D33" s="3">
        <v>17</v>
      </c>
      <c r="E33" s="131">
        <f t="shared" si="6"/>
        <v>47</v>
      </c>
      <c r="F33" s="308">
        <f t="shared" si="0"/>
        <v>17</v>
      </c>
      <c r="G33" s="308"/>
      <c r="H33" s="309">
        <f t="shared" si="7"/>
        <v>859004.03478497441</v>
      </c>
      <c r="I33" s="309"/>
      <c r="J33" s="309"/>
      <c r="K33" s="309">
        <f t="shared" si="1"/>
        <v>160470.64390987871</v>
      </c>
      <c r="L33" s="309"/>
      <c r="M33" s="309"/>
      <c r="N33" s="310">
        <f t="shared" si="2"/>
        <v>31291.775562426352</v>
      </c>
      <c r="O33" s="310"/>
      <c r="P33" s="310"/>
      <c r="Q33" s="311">
        <f t="shared" si="3"/>
        <v>9628.2386345927225</v>
      </c>
      <c r="R33" s="311"/>
      <c r="S33" s="311"/>
      <c r="T33" s="378">
        <f t="shared" si="4"/>
        <v>60130.282434948487</v>
      </c>
      <c r="U33" s="378"/>
      <c r="V33" s="378"/>
      <c r="W33" s="313">
        <f t="shared" si="8"/>
        <v>960054.33141694195</v>
      </c>
      <c r="X33" s="313"/>
      <c r="Y33" s="313"/>
      <c r="Z33" s="41"/>
      <c r="AA33" s="1"/>
      <c r="AB33" s="47"/>
      <c r="AC33" s="7"/>
      <c r="AD33" s="7"/>
      <c r="AE33" s="7"/>
      <c r="AF33" s="7"/>
      <c r="AG33" s="7"/>
      <c r="AH33" s="7"/>
      <c r="AI33" s="7"/>
      <c r="AJ33" s="7"/>
      <c r="AK33" s="7"/>
      <c r="AL33" s="7"/>
      <c r="AM33" s="7"/>
      <c r="AN33" s="7"/>
      <c r="AO33" s="9"/>
      <c r="AP33" s="1"/>
      <c r="AQ33" s="1"/>
      <c r="AR33" s="1"/>
    </row>
    <row r="34" spans="1:44" x14ac:dyDescent="0.3">
      <c r="A34" s="91">
        <f>VLOOKUP(B34,IRS!$L$4:$M$10,2,FALSE)</f>
        <v>0.32</v>
      </c>
      <c r="B34" s="92">
        <f>VLOOKUP(K34,IRS!$H$4:$L$10,5)</f>
        <v>0.22844215095249576</v>
      </c>
      <c r="C34" s="93">
        <f t="shared" si="5"/>
        <v>-7362.8113321015207</v>
      </c>
      <c r="D34" s="3">
        <v>18</v>
      </c>
      <c r="E34" s="131">
        <f t="shared" si="6"/>
        <v>48</v>
      </c>
      <c r="F34" s="303">
        <f t="shared" si="0"/>
        <v>18</v>
      </c>
      <c r="G34" s="303"/>
      <c r="H34" s="304">
        <f t="shared" si="7"/>
        <v>960054.33141694195</v>
      </c>
      <c r="I34" s="304"/>
      <c r="J34" s="304"/>
      <c r="K34" s="304">
        <f t="shared" si="1"/>
        <v>165284.76322717508</v>
      </c>
      <c r="L34" s="304"/>
      <c r="M34" s="304"/>
      <c r="N34" s="305">
        <f t="shared" si="2"/>
        <v>32230.528829299143</v>
      </c>
      <c r="O34" s="305"/>
      <c r="P34" s="305"/>
      <c r="Q34" s="306">
        <f t="shared" si="3"/>
        <v>9917.0857936305038</v>
      </c>
      <c r="R34" s="306"/>
      <c r="S34" s="306"/>
      <c r="T34" s="379">
        <f t="shared" si="4"/>
        <v>67203.803199186223</v>
      </c>
      <c r="U34" s="379"/>
      <c r="V34" s="379"/>
      <c r="W34" s="301">
        <f t="shared" si="8"/>
        <v>1069405.7492390578</v>
      </c>
      <c r="X34" s="301"/>
      <c r="Y34" s="301"/>
      <c r="Z34" s="41"/>
      <c r="AA34" s="1"/>
      <c r="AB34" s="47"/>
      <c r="AC34" s="7"/>
      <c r="AD34" s="7"/>
      <c r="AE34" s="7"/>
      <c r="AF34" s="7"/>
      <c r="AG34" s="7"/>
      <c r="AH34" s="7"/>
      <c r="AI34" s="7"/>
      <c r="AJ34" s="7"/>
      <c r="AK34" s="7"/>
      <c r="AL34" s="7"/>
      <c r="AM34" s="7"/>
      <c r="AN34" s="7"/>
      <c r="AO34" s="9"/>
      <c r="AP34" s="1"/>
      <c r="AQ34" s="1"/>
      <c r="AR34" s="1"/>
    </row>
    <row r="35" spans="1:44" x14ac:dyDescent="0.3">
      <c r="A35" s="91">
        <f>VLOOKUP(B35,IRS!$L$4:$M$10,2,FALSE)</f>
        <v>0.32</v>
      </c>
      <c r="B35" s="92">
        <f>VLOOKUP(K35,IRS!$H$4:$L$10,5)</f>
        <v>0.22844215095249576</v>
      </c>
      <c r="C35" s="93">
        <f t="shared" si="5"/>
        <v>-7583.6956720645658</v>
      </c>
      <c r="D35" s="3">
        <v>19</v>
      </c>
      <c r="E35" s="131">
        <f t="shared" si="6"/>
        <v>49</v>
      </c>
      <c r="F35" s="308">
        <f t="shared" si="0"/>
        <v>19</v>
      </c>
      <c r="G35" s="308"/>
      <c r="H35" s="309">
        <f t="shared" si="7"/>
        <v>1069405.7492390578</v>
      </c>
      <c r="I35" s="309"/>
      <c r="J35" s="309"/>
      <c r="K35" s="309">
        <f t="shared" si="1"/>
        <v>170243.30612399033</v>
      </c>
      <c r="L35" s="309"/>
      <c r="M35" s="309"/>
      <c r="N35" s="310">
        <f t="shared" si="2"/>
        <v>33197.444694178113</v>
      </c>
      <c r="O35" s="310"/>
      <c r="P35" s="310"/>
      <c r="Q35" s="311">
        <f t="shared" si="3"/>
        <v>10214.598367439419</v>
      </c>
      <c r="R35" s="311"/>
      <c r="S35" s="311"/>
      <c r="T35" s="378">
        <f t="shared" si="4"/>
        <v>74858.40244673402</v>
      </c>
      <c r="U35" s="378"/>
      <c r="V35" s="378"/>
      <c r="W35" s="313">
        <f t="shared" si="8"/>
        <v>1187676.1947474093</v>
      </c>
      <c r="X35" s="313"/>
      <c r="Y35" s="313"/>
      <c r="Z35" s="41"/>
      <c r="AA35" s="1"/>
      <c r="AB35" s="47"/>
      <c r="AC35" s="7"/>
      <c r="AD35" s="7"/>
      <c r="AE35" s="7"/>
      <c r="AF35" s="7"/>
      <c r="AG35" s="7"/>
      <c r="AH35" s="7"/>
      <c r="AI35" s="7"/>
      <c r="AJ35" s="7"/>
      <c r="AK35" s="7"/>
      <c r="AL35" s="7"/>
      <c r="AM35" s="7"/>
      <c r="AN35" s="7"/>
      <c r="AO35" s="9"/>
      <c r="AP35" s="1"/>
      <c r="AQ35" s="1"/>
      <c r="AR35" s="1"/>
    </row>
    <row r="36" spans="1:44" x14ac:dyDescent="0.3">
      <c r="A36" s="91">
        <f>VLOOKUP(B36,IRS!$L$4:$M$10,2,FALSE)</f>
        <v>0.32</v>
      </c>
      <c r="B36" s="92">
        <f>VLOOKUP(K36,IRS!$H$4:$L$10,5)</f>
        <v>0.22844215095249576</v>
      </c>
      <c r="C36" s="93">
        <f t="shared" si="5"/>
        <v>-7811.2065422265023</v>
      </c>
      <c r="D36" s="3">
        <v>20</v>
      </c>
      <c r="E36" s="131">
        <f t="shared" si="6"/>
        <v>50</v>
      </c>
      <c r="F36" s="303">
        <f t="shared" si="0"/>
        <v>20</v>
      </c>
      <c r="G36" s="303"/>
      <c r="H36" s="304">
        <f t="shared" si="7"/>
        <v>1187676.1947474093</v>
      </c>
      <c r="I36" s="304"/>
      <c r="J36" s="304"/>
      <c r="K36" s="304">
        <f t="shared" si="1"/>
        <v>175350.60530771004</v>
      </c>
      <c r="L36" s="304"/>
      <c r="M36" s="304"/>
      <c r="N36" s="305">
        <f t="shared" si="2"/>
        <v>34193.368035003456</v>
      </c>
      <c r="O36" s="305"/>
      <c r="P36" s="305"/>
      <c r="Q36" s="306">
        <f t="shared" si="3"/>
        <v>10521.0363184626</v>
      </c>
      <c r="R36" s="306"/>
      <c r="S36" s="306"/>
      <c r="T36" s="379">
        <f t="shared" si="4"/>
        <v>83137.333632319001</v>
      </c>
      <c r="U36" s="379"/>
      <c r="V36" s="379"/>
      <c r="W36" s="301">
        <f t="shared" si="8"/>
        <v>1315527.9327331944</v>
      </c>
      <c r="X36" s="301"/>
      <c r="Y36" s="301"/>
      <c r="Z36" s="41"/>
      <c r="AA36" s="1"/>
      <c r="AB36" s="47"/>
      <c r="AC36" s="7"/>
      <c r="AD36" s="7"/>
      <c r="AE36" s="7"/>
      <c r="AF36" s="7"/>
      <c r="AG36" s="7"/>
      <c r="AH36" s="7"/>
      <c r="AI36" s="7"/>
      <c r="AJ36" s="7"/>
      <c r="AK36" s="7"/>
      <c r="AL36" s="7"/>
      <c r="AM36" s="7"/>
      <c r="AN36" s="7"/>
      <c r="AO36" s="9"/>
      <c r="AP36" s="1"/>
      <c r="AQ36" s="1"/>
      <c r="AR36" s="1"/>
    </row>
    <row r="37" spans="1:44" x14ac:dyDescent="0.3">
      <c r="A37" s="91">
        <f>VLOOKUP(B37,IRS!$L$4:$M$10,2,FALSE)</f>
        <v>0.32</v>
      </c>
      <c r="B37" s="92">
        <f>VLOOKUP(K37,IRS!$H$4:$L$10,5)</f>
        <v>0.22844215095249576</v>
      </c>
      <c r="C37" s="93">
        <f t="shared" si="5"/>
        <v>-8045.5427384932973</v>
      </c>
      <c r="D37" s="3">
        <v>21</v>
      </c>
      <c r="E37" s="131">
        <f t="shared" si="6"/>
        <v>51</v>
      </c>
      <c r="F37" s="308">
        <f t="shared" si="0"/>
        <v>21</v>
      </c>
      <c r="G37" s="308"/>
      <c r="H37" s="309">
        <f t="shared" si="7"/>
        <v>1315527.9327331944</v>
      </c>
      <c r="I37" s="309"/>
      <c r="J37" s="309"/>
      <c r="K37" s="309">
        <f t="shared" si="1"/>
        <v>180611.12346694132</v>
      </c>
      <c r="L37" s="309"/>
      <c r="M37" s="309"/>
      <c r="N37" s="310">
        <f t="shared" si="2"/>
        <v>35219.169076053557</v>
      </c>
      <c r="O37" s="310"/>
      <c r="P37" s="310"/>
      <c r="Q37" s="311">
        <f t="shared" si="3"/>
        <v>10836.667408016483</v>
      </c>
      <c r="R37" s="311"/>
      <c r="S37" s="311"/>
      <c r="T37" s="378">
        <f t="shared" si="4"/>
        <v>92086.955291323829</v>
      </c>
      <c r="U37" s="378"/>
      <c r="V37" s="378"/>
      <c r="W37" s="313">
        <f t="shared" si="8"/>
        <v>1453670.7245085884</v>
      </c>
      <c r="X37" s="313"/>
      <c r="Y37" s="313"/>
      <c r="Z37" s="41"/>
      <c r="AA37" s="1"/>
      <c r="AB37" s="47"/>
      <c r="AC37" s="7"/>
      <c r="AD37" s="7"/>
      <c r="AE37" s="7"/>
      <c r="AF37" s="7"/>
      <c r="AG37" s="7"/>
      <c r="AH37" s="7"/>
      <c r="AI37" s="7"/>
      <c r="AJ37" s="7"/>
      <c r="AK37" s="7"/>
      <c r="AL37" s="7"/>
      <c r="AM37" s="7"/>
      <c r="AN37" s="7"/>
      <c r="AO37" s="9"/>
      <c r="AP37" s="1"/>
      <c r="AQ37" s="1"/>
      <c r="AR37" s="1"/>
    </row>
    <row r="38" spans="1:44" x14ac:dyDescent="0.3">
      <c r="A38" s="91">
        <f>VLOOKUP(B38,IRS!$L$4:$M$10,2,FALSE)</f>
        <v>0.32</v>
      </c>
      <c r="B38" s="92">
        <f>VLOOKUP(K38,IRS!$H$4:$L$10,5)</f>
        <v>0.22844215095249576</v>
      </c>
      <c r="C38" s="93">
        <f t="shared" si="5"/>
        <v>-8286.909020648096</v>
      </c>
      <c r="D38" s="3">
        <v>22</v>
      </c>
      <c r="E38" s="131">
        <f t="shared" si="6"/>
        <v>52</v>
      </c>
      <c r="F38" s="303">
        <f t="shared" si="0"/>
        <v>22</v>
      </c>
      <c r="G38" s="303"/>
      <c r="H38" s="304">
        <f t="shared" si="7"/>
        <v>1453670.7245085884</v>
      </c>
      <c r="I38" s="304"/>
      <c r="J38" s="304"/>
      <c r="K38" s="304">
        <f t="shared" si="1"/>
        <v>186029.45717094955</v>
      </c>
      <c r="L38" s="304"/>
      <c r="M38" s="304"/>
      <c r="N38" s="305">
        <f t="shared" si="2"/>
        <v>36275.744148335165</v>
      </c>
      <c r="O38" s="305"/>
      <c r="P38" s="305"/>
      <c r="Q38" s="306">
        <f t="shared" si="3"/>
        <v>11161.767430256972</v>
      </c>
      <c r="R38" s="306"/>
      <c r="S38" s="306"/>
      <c r="T38" s="379">
        <f t="shared" si="4"/>
        <v>101756.95071560144</v>
      </c>
      <c r="U38" s="379"/>
      <c r="V38" s="379"/>
      <c r="W38" s="301">
        <f t="shared" si="8"/>
        <v>1602865.1868027821</v>
      </c>
      <c r="X38" s="301"/>
      <c r="Y38" s="301"/>
      <c r="Z38" s="41"/>
      <c r="AA38" s="1"/>
      <c r="AB38" s="47"/>
      <c r="AC38" s="7"/>
      <c r="AD38" s="7"/>
      <c r="AE38" s="7"/>
      <c r="AF38" s="7"/>
      <c r="AG38" s="7"/>
      <c r="AH38" s="7"/>
      <c r="AI38" s="7"/>
      <c r="AJ38" s="7"/>
      <c r="AK38" s="7"/>
      <c r="AL38" s="7"/>
      <c r="AM38" s="7"/>
      <c r="AN38" s="7"/>
      <c r="AO38" s="9"/>
      <c r="AP38" s="1"/>
      <c r="AQ38" s="1"/>
      <c r="AR38" s="1"/>
    </row>
    <row r="39" spans="1:44" x14ac:dyDescent="0.3">
      <c r="A39" s="91">
        <f>VLOOKUP(B39,IRS!$L$4:$M$10,2,FALSE)</f>
        <v>0.32</v>
      </c>
      <c r="B39" s="92">
        <f>VLOOKUP(K39,IRS!$H$4:$L$10,5)</f>
        <v>0.22844215095249576</v>
      </c>
      <c r="C39" s="93">
        <f t="shared" si="5"/>
        <v>-8535.5162912675405</v>
      </c>
      <c r="D39" s="3">
        <v>23</v>
      </c>
      <c r="E39" s="131">
        <f t="shared" si="6"/>
        <v>53</v>
      </c>
      <c r="F39" s="308">
        <f t="shared" si="0"/>
        <v>23</v>
      </c>
      <c r="G39" s="308"/>
      <c r="H39" s="309">
        <f t="shared" si="7"/>
        <v>1602865.1868027821</v>
      </c>
      <c r="I39" s="309"/>
      <c r="J39" s="309"/>
      <c r="K39" s="309">
        <f t="shared" si="1"/>
        <v>191610.34088607805</v>
      </c>
      <c r="L39" s="309"/>
      <c r="M39" s="309"/>
      <c r="N39" s="310">
        <f t="shared" si="2"/>
        <v>37364.016472785224</v>
      </c>
      <c r="O39" s="310"/>
      <c r="P39" s="310"/>
      <c r="Q39" s="311">
        <f t="shared" si="3"/>
        <v>11496.62045316468</v>
      </c>
      <c r="R39" s="311"/>
      <c r="S39" s="311"/>
      <c r="T39" s="378">
        <f t="shared" si="4"/>
        <v>112200.56307619507</v>
      </c>
      <c r="U39" s="378"/>
      <c r="V39" s="378"/>
      <c r="W39" s="313">
        <f t="shared" si="8"/>
        <v>1763926.3868049271</v>
      </c>
      <c r="X39" s="313"/>
      <c r="Y39" s="313"/>
      <c r="Z39" s="41"/>
      <c r="AA39" s="1"/>
      <c r="AB39" s="47"/>
      <c r="AC39" s="7"/>
      <c r="AD39" s="7"/>
      <c r="AE39" s="7"/>
      <c r="AF39" s="7"/>
      <c r="AG39" s="7"/>
      <c r="AH39" s="7"/>
      <c r="AI39" s="7"/>
      <c r="AJ39" s="7"/>
      <c r="AK39" s="7"/>
      <c r="AL39" s="7"/>
      <c r="AM39" s="7"/>
      <c r="AN39" s="7"/>
      <c r="AO39" s="9"/>
      <c r="AP39" s="1"/>
      <c r="AQ39" s="1"/>
      <c r="AR39" s="1"/>
    </row>
    <row r="40" spans="1:44" x14ac:dyDescent="0.3">
      <c r="A40" s="91">
        <f>VLOOKUP(B40,IRS!$L$4:$M$10,2,FALSE)</f>
        <v>0.32</v>
      </c>
      <c r="B40" s="92">
        <f>VLOOKUP(K40,IRS!$H$4:$L$10,5)</f>
        <v>0.22844215095249576</v>
      </c>
      <c r="C40" s="93">
        <f t="shared" si="5"/>
        <v>-8791.5817800055647</v>
      </c>
      <c r="D40" s="3">
        <v>24</v>
      </c>
      <c r="E40" s="131">
        <f t="shared" si="6"/>
        <v>54</v>
      </c>
      <c r="F40" s="303">
        <f t="shared" si="0"/>
        <v>24</v>
      </c>
      <c r="G40" s="303"/>
      <c r="H40" s="304">
        <f t="shared" si="7"/>
        <v>1763926.3868049271</v>
      </c>
      <c r="I40" s="304"/>
      <c r="J40" s="304"/>
      <c r="K40" s="304">
        <f t="shared" si="1"/>
        <v>197358.65111266039</v>
      </c>
      <c r="L40" s="304"/>
      <c r="M40" s="304"/>
      <c r="N40" s="305">
        <f t="shared" si="2"/>
        <v>38484.936966968773</v>
      </c>
      <c r="O40" s="305"/>
      <c r="P40" s="305"/>
      <c r="Q40" s="306">
        <f t="shared" si="3"/>
        <v>11841.519066759623</v>
      </c>
      <c r="R40" s="306"/>
      <c r="S40" s="306"/>
      <c r="T40" s="379">
        <f t="shared" si="4"/>
        <v>123474.847076345</v>
      </c>
      <c r="U40" s="379"/>
      <c r="V40" s="379"/>
      <c r="W40" s="301">
        <f t="shared" si="8"/>
        <v>1937727.6899150005</v>
      </c>
      <c r="X40" s="301"/>
      <c r="Y40" s="301"/>
      <c r="Z40" s="41"/>
      <c r="AA40" s="1"/>
      <c r="AB40" s="47"/>
      <c r="AC40" s="7"/>
      <c r="AD40" s="7"/>
      <c r="AE40" s="7"/>
      <c r="AF40" s="7"/>
      <c r="AG40" s="7"/>
      <c r="AH40" s="7"/>
      <c r="AI40" s="7"/>
      <c r="AJ40" s="7"/>
      <c r="AK40" s="7"/>
      <c r="AL40" s="7"/>
      <c r="AM40" s="7"/>
      <c r="AN40" s="7"/>
      <c r="AO40" s="9"/>
      <c r="AP40" s="1"/>
      <c r="AQ40" s="1"/>
      <c r="AR40" s="1"/>
    </row>
    <row r="41" spans="1:44" x14ac:dyDescent="0.3">
      <c r="A41" s="91">
        <f>VLOOKUP(B41,IRS!$L$4:$M$10,2,FALSE)</f>
        <v>0.32</v>
      </c>
      <c r="B41" s="92">
        <f>VLOOKUP(K41,IRS!$H$4:$L$10,5)</f>
        <v>0.22844215095249576</v>
      </c>
      <c r="C41" s="93">
        <f t="shared" si="5"/>
        <v>-9055.3292334057314</v>
      </c>
      <c r="D41" s="3">
        <v>25</v>
      </c>
      <c r="E41" s="131">
        <f t="shared" si="6"/>
        <v>55</v>
      </c>
      <c r="F41" s="308">
        <f t="shared" si="0"/>
        <v>25</v>
      </c>
      <c r="G41" s="308"/>
      <c r="H41" s="309">
        <f t="shared" si="7"/>
        <v>1937727.6899150005</v>
      </c>
      <c r="I41" s="309"/>
      <c r="J41" s="309"/>
      <c r="K41" s="309">
        <f t="shared" si="1"/>
        <v>203279.41064604017</v>
      </c>
      <c r="L41" s="309"/>
      <c r="M41" s="309"/>
      <c r="N41" s="310">
        <f t="shared" si="2"/>
        <v>39639.485075977835</v>
      </c>
      <c r="O41" s="310"/>
      <c r="P41" s="310"/>
      <c r="Q41" s="311">
        <f t="shared" si="3"/>
        <v>12196.764638762408</v>
      </c>
      <c r="R41" s="311"/>
      <c r="S41" s="311"/>
      <c r="T41" s="378">
        <f t="shared" si="4"/>
        <v>135640.93829405028</v>
      </c>
      <c r="U41" s="378"/>
      <c r="V41" s="378"/>
      <c r="W41" s="313">
        <f t="shared" si="8"/>
        <v>2125204.8779237913</v>
      </c>
      <c r="X41" s="313"/>
      <c r="Y41" s="313"/>
      <c r="Z41" s="41"/>
      <c r="AA41" s="1"/>
      <c r="AB41" s="47"/>
      <c r="AC41" s="7"/>
      <c r="AD41" s="7"/>
      <c r="AE41" s="7"/>
      <c r="AF41" s="7"/>
      <c r="AG41" s="7"/>
      <c r="AH41" s="7"/>
      <c r="AI41" s="7"/>
      <c r="AJ41" s="7"/>
      <c r="AK41" s="7"/>
      <c r="AL41" s="7"/>
      <c r="AM41" s="7"/>
      <c r="AN41" s="7"/>
      <c r="AO41" s="9"/>
      <c r="AP41" s="1"/>
      <c r="AQ41" s="1"/>
      <c r="AR41" s="1"/>
    </row>
    <row r="42" spans="1:44" x14ac:dyDescent="0.3">
      <c r="A42" s="91">
        <f>VLOOKUP(B42,IRS!$L$4:$M$10,2,FALSE)</f>
        <v>0.35</v>
      </c>
      <c r="B42" s="92">
        <f>VLOOKUP(K42,IRS!$H$4:$L$10,5)</f>
        <v>0.30137920524691353</v>
      </c>
      <c r="C42" s="93">
        <f t="shared" si="5"/>
        <v>-12304.912003852944</v>
      </c>
      <c r="D42" s="3">
        <v>26</v>
      </c>
      <c r="E42" s="131">
        <f t="shared" si="6"/>
        <v>56</v>
      </c>
      <c r="F42" s="303">
        <f t="shared" si="0"/>
        <v>26</v>
      </c>
      <c r="G42" s="303"/>
      <c r="H42" s="304">
        <f t="shared" si="7"/>
        <v>2125204.8779237913</v>
      </c>
      <c r="I42" s="304"/>
      <c r="J42" s="304"/>
      <c r="K42" s="304">
        <f t="shared" si="1"/>
        <v>209377.79296542139</v>
      </c>
      <c r="L42" s="304"/>
      <c r="M42" s="304"/>
      <c r="N42" s="305">
        <f t="shared" si="2"/>
        <v>40828.669628257172</v>
      </c>
      <c r="O42" s="305"/>
      <c r="P42" s="305"/>
      <c r="Q42" s="306">
        <f t="shared" si="3"/>
        <v>12562.667577925282</v>
      </c>
      <c r="R42" s="306"/>
      <c r="S42" s="306"/>
      <c r="T42" s="379">
        <f t="shared" si="4"/>
        <v>148764.34145466611</v>
      </c>
      <c r="U42" s="379"/>
      <c r="V42" s="379"/>
      <c r="W42" s="301">
        <f t="shared" si="8"/>
        <v>2327360.5565846399</v>
      </c>
      <c r="X42" s="301"/>
      <c r="Y42" s="301"/>
      <c r="Z42" s="41"/>
      <c r="AA42" s="1"/>
      <c r="AB42" s="47"/>
      <c r="AC42" s="7"/>
      <c r="AD42" s="7"/>
      <c r="AE42" s="7"/>
      <c r="AF42" s="7"/>
      <c r="AG42" s="7"/>
      <c r="AH42" s="7"/>
      <c r="AI42" s="7"/>
      <c r="AJ42" s="7"/>
      <c r="AK42" s="7"/>
      <c r="AL42" s="7"/>
      <c r="AM42" s="7"/>
      <c r="AN42" s="7"/>
      <c r="AO42" s="9"/>
      <c r="AP42" s="1"/>
      <c r="AQ42" s="1"/>
      <c r="AR42" s="1"/>
    </row>
    <row r="43" spans="1:44" x14ac:dyDescent="0.3">
      <c r="A43" s="91">
        <f>VLOOKUP(B43,IRS!$L$4:$M$10,2,FALSE)</f>
        <v>0.35</v>
      </c>
      <c r="B43" s="92">
        <f>VLOOKUP(K43,IRS!$H$4:$L$10,5)</f>
        <v>0.30137920524691353</v>
      </c>
      <c r="C43" s="93">
        <f t="shared" si="5"/>
        <v>-12674.059363968532</v>
      </c>
      <c r="D43" s="3">
        <v>27</v>
      </c>
      <c r="E43" s="131">
        <f t="shared" si="6"/>
        <v>57</v>
      </c>
      <c r="F43" s="308">
        <f t="shared" si="0"/>
        <v>27</v>
      </c>
      <c r="G43" s="308"/>
      <c r="H43" s="309">
        <f t="shared" si="7"/>
        <v>2327360.5565846399</v>
      </c>
      <c r="I43" s="309"/>
      <c r="J43" s="309"/>
      <c r="K43" s="309">
        <f t="shared" si="1"/>
        <v>215659.12675438405</v>
      </c>
      <c r="L43" s="309"/>
      <c r="M43" s="309"/>
      <c r="N43" s="310">
        <f t="shared" si="2"/>
        <v>42053.529717104888</v>
      </c>
      <c r="O43" s="310"/>
      <c r="P43" s="310"/>
      <c r="Q43" s="311">
        <f t="shared" si="3"/>
        <v>12939.547605263044</v>
      </c>
      <c r="R43" s="311"/>
      <c r="S43" s="311"/>
      <c r="T43" s="378">
        <f t="shared" si="4"/>
        <v>162915.23896092502</v>
      </c>
      <c r="U43" s="378"/>
      <c r="V43" s="378"/>
      <c r="W43" s="313">
        <f t="shared" si="8"/>
        <v>2545268.872867933</v>
      </c>
      <c r="X43" s="313"/>
      <c r="Y43" s="313"/>
      <c r="Z43" s="41"/>
      <c r="AA43" s="1"/>
      <c r="AB43" s="47"/>
      <c r="AC43" s="7"/>
      <c r="AD43" s="7"/>
      <c r="AE43" s="7"/>
      <c r="AF43" s="7"/>
      <c r="AG43" s="7"/>
      <c r="AH43" s="7"/>
      <c r="AI43" s="7"/>
      <c r="AJ43" s="7"/>
      <c r="AK43" s="7"/>
      <c r="AL43" s="7"/>
      <c r="AM43" s="7"/>
      <c r="AN43" s="7"/>
      <c r="AO43" s="9"/>
      <c r="AP43" s="1"/>
      <c r="AQ43" s="1"/>
      <c r="AR43" s="1"/>
    </row>
    <row r="44" spans="1:44" x14ac:dyDescent="0.3">
      <c r="A44" s="91">
        <f>VLOOKUP(B44,IRS!$L$4:$M$10,2,FALSE)</f>
        <v>0.35</v>
      </c>
      <c r="B44" s="92">
        <f>VLOOKUP(K44,IRS!$H$4:$L$10,5)</f>
        <v>0.30137920524691353</v>
      </c>
      <c r="C44" s="93">
        <f t="shared" si="5"/>
        <v>-13054.281144887589</v>
      </c>
      <c r="D44" s="3">
        <v>28</v>
      </c>
      <c r="E44" s="131">
        <f t="shared" si="6"/>
        <v>58</v>
      </c>
      <c r="F44" s="303">
        <f t="shared" si="0"/>
        <v>28</v>
      </c>
      <c r="G44" s="303"/>
      <c r="H44" s="304">
        <f t="shared" si="7"/>
        <v>2545268.872867933</v>
      </c>
      <c r="I44" s="304"/>
      <c r="J44" s="304"/>
      <c r="K44" s="304">
        <f t="shared" si="1"/>
        <v>222128.90055701556</v>
      </c>
      <c r="L44" s="304"/>
      <c r="M44" s="304"/>
      <c r="N44" s="305">
        <f t="shared" si="2"/>
        <v>43315.135608618039</v>
      </c>
      <c r="O44" s="305"/>
      <c r="P44" s="305"/>
      <c r="Q44" s="306">
        <f t="shared" si="3"/>
        <v>13327.734033420931</v>
      </c>
      <c r="R44" s="306"/>
      <c r="S44" s="306"/>
      <c r="T44" s="379">
        <f t="shared" si="4"/>
        <v>178168.82110075559</v>
      </c>
      <c r="U44" s="379"/>
      <c r="V44" s="379"/>
      <c r="W44" s="301">
        <f t="shared" si="8"/>
        <v>2780080.5636107279</v>
      </c>
      <c r="X44" s="301"/>
      <c r="Y44" s="301"/>
      <c r="Z44" s="41"/>
      <c r="AA44" s="1"/>
      <c r="AB44" s="47"/>
      <c r="AC44" s="7"/>
      <c r="AD44" s="7"/>
      <c r="AE44" s="7"/>
      <c r="AF44" s="7"/>
      <c r="AG44" s="7"/>
      <c r="AH44" s="7"/>
      <c r="AI44" s="7"/>
      <c r="AJ44" s="7"/>
      <c r="AK44" s="7"/>
      <c r="AL44" s="7"/>
      <c r="AM44" s="7"/>
      <c r="AN44" s="7"/>
      <c r="AO44" s="9"/>
      <c r="AP44" s="1"/>
      <c r="AQ44" s="1"/>
      <c r="AR44" s="1"/>
    </row>
    <row r="45" spans="1:44" x14ac:dyDescent="0.3">
      <c r="A45" s="91">
        <f>VLOOKUP(B45,IRS!$L$4:$M$10,2,FALSE)</f>
        <v>0.35</v>
      </c>
      <c r="B45" s="92">
        <f>VLOOKUP(K45,IRS!$H$4:$L$10,5)</f>
        <v>0.30137920524691353</v>
      </c>
      <c r="C45" s="93">
        <f t="shared" si="5"/>
        <v>-13445.909579234214</v>
      </c>
      <c r="D45" s="3">
        <v>29</v>
      </c>
      <c r="E45" s="131">
        <f t="shared" si="6"/>
        <v>59</v>
      </c>
      <c r="F45" s="308">
        <f t="shared" si="0"/>
        <v>29</v>
      </c>
      <c r="G45" s="308"/>
      <c r="H45" s="309">
        <f t="shared" si="7"/>
        <v>2780080.5636107279</v>
      </c>
      <c r="I45" s="309"/>
      <c r="J45" s="309"/>
      <c r="K45" s="309">
        <f t="shared" si="1"/>
        <v>228792.76757372601</v>
      </c>
      <c r="L45" s="309"/>
      <c r="M45" s="309"/>
      <c r="N45" s="310">
        <f t="shared" si="2"/>
        <v>44614.589676876574</v>
      </c>
      <c r="O45" s="310"/>
      <c r="P45" s="310"/>
      <c r="Q45" s="311">
        <f t="shared" si="3"/>
        <v>13727.566054423562</v>
      </c>
      <c r="R45" s="311"/>
      <c r="S45" s="311"/>
      <c r="T45" s="378">
        <f t="shared" si="4"/>
        <v>194605.63945275173</v>
      </c>
      <c r="U45" s="378"/>
      <c r="V45" s="378"/>
      <c r="W45" s="313">
        <f t="shared" si="8"/>
        <v>3033028.3587947795</v>
      </c>
      <c r="X45" s="313"/>
      <c r="Y45" s="313"/>
      <c r="Z45" s="41"/>
      <c r="AA45" s="1"/>
      <c r="AB45" s="47"/>
      <c r="AC45" s="7"/>
      <c r="AD45" s="7"/>
      <c r="AE45" s="7"/>
      <c r="AF45" s="7"/>
      <c r="AG45" s="7"/>
      <c r="AH45" s="7"/>
      <c r="AI45" s="7"/>
      <c r="AJ45" s="7"/>
      <c r="AK45" s="7"/>
      <c r="AL45" s="7"/>
      <c r="AM45" s="7"/>
      <c r="AN45" s="7"/>
      <c r="AO45" s="9"/>
      <c r="AP45" s="1"/>
      <c r="AQ45" s="1"/>
      <c r="AR45" s="1"/>
    </row>
    <row r="46" spans="1:44" x14ac:dyDescent="0.3">
      <c r="A46" s="91">
        <f>VLOOKUP(B46,IRS!$L$4:$M$10,2,FALSE)</f>
        <v>0.35</v>
      </c>
      <c r="B46" s="92">
        <f>VLOOKUP(K46,IRS!$H$4:$L$10,5)</f>
        <v>0.30137920524691353</v>
      </c>
      <c r="C46" s="93">
        <f t="shared" si="5"/>
        <v>-13849.286866611241</v>
      </c>
      <c r="D46" s="3">
        <v>30</v>
      </c>
      <c r="E46" s="131">
        <f t="shared" si="6"/>
        <v>60</v>
      </c>
      <c r="F46" s="303">
        <f t="shared" si="0"/>
        <v>30</v>
      </c>
      <c r="G46" s="303"/>
      <c r="H46" s="304">
        <f t="shared" si="7"/>
        <v>3033028.3587947795</v>
      </c>
      <c r="I46" s="304"/>
      <c r="J46" s="304"/>
      <c r="K46" s="304">
        <f t="shared" si="1"/>
        <v>235656.55060093777</v>
      </c>
      <c r="L46" s="304"/>
      <c r="M46" s="304"/>
      <c r="N46" s="305">
        <f t="shared" si="2"/>
        <v>45953.027367182869</v>
      </c>
      <c r="O46" s="305"/>
      <c r="P46" s="305"/>
      <c r="Q46" s="306">
        <f t="shared" si="3"/>
        <v>14139.393036056263</v>
      </c>
      <c r="R46" s="306"/>
      <c r="S46" s="306"/>
      <c r="T46" s="379">
        <f t="shared" si="4"/>
        <v>212311.98511563521</v>
      </c>
      <c r="U46" s="379"/>
      <c r="V46" s="379"/>
      <c r="W46" s="301">
        <f t="shared" si="8"/>
        <v>3305432.764313654</v>
      </c>
      <c r="X46" s="301"/>
      <c r="Y46" s="301"/>
      <c r="Z46" s="41"/>
      <c r="AA46" s="1"/>
      <c r="AB46" s="47"/>
      <c r="AC46" s="7"/>
      <c r="AD46" s="7"/>
      <c r="AE46" s="7"/>
      <c r="AF46" s="7"/>
      <c r="AG46" s="7"/>
      <c r="AH46" s="7"/>
      <c r="AI46" s="7"/>
      <c r="AJ46" s="7"/>
      <c r="AK46" s="7"/>
      <c r="AL46" s="7"/>
      <c r="AM46" s="7"/>
      <c r="AN46" s="7"/>
      <c r="AO46" s="9"/>
      <c r="AP46" s="1"/>
      <c r="AQ46" s="1"/>
      <c r="AR46" s="1"/>
    </row>
    <row r="47" spans="1:44" x14ac:dyDescent="0.3">
      <c r="A47" s="91">
        <f>VLOOKUP(B47,IRS!$L$4:$M$10,2,FALSE)</f>
        <v>0.35</v>
      </c>
      <c r="B47" s="92">
        <f>VLOOKUP(K47,IRS!$H$4:$L$10,5)</f>
        <v>0.30137920524691353</v>
      </c>
      <c r="C47" s="93">
        <f t="shared" si="5"/>
        <v>-14264.765472609575</v>
      </c>
      <c r="D47" s="3">
        <v>31</v>
      </c>
      <c r="E47" s="131">
        <f t="shared" si="6"/>
        <v>61</v>
      </c>
      <c r="F47" s="308">
        <f t="shared" si="0"/>
        <v>31</v>
      </c>
      <c r="G47" s="308"/>
      <c r="H47" s="309">
        <f t="shared" si="7"/>
        <v>3305432.764313654</v>
      </c>
      <c r="I47" s="309"/>
      <c r="J47" s="309"/>
      <c r="K47" s="309">
        <f t="shared" si="1"/>
        <v>242726.2471189659</v>
      </c>
      <c r="L47" s="309"/>
      <c r="M47" s="309"/>
      <c r="N47" s="310">
        <f t="shared" si="2"/>
        <v>47331.61818819835</v>
      </c>
      <c r="O47" s="310"/>
      <c r="P47" s="310"/>
      <c r="Q47" s="311">
        <f t="shared" si="3"/>
        <v>14563.574827137953</v>
      </c>
      <c r="R47" s="311"/>
      <c r="S47" s="311"/>
      <c r="T47" s="378">
        <f t="shared" si="4"/>
        <v>231380.29350195592</v>
      </c>
      <c r="U47" s="378"/>
      <c r="V47" s="378"/>
      <c r="W47" s="313">
        <f t="shared" si="8"/>
        <v>3598708.250830946</v>
      </c>
      <c r="X47" s="313"/>
      <c r="Y47" s="313"/>
      <c r="Z47" s="41"/>
      <c r="AA47" s="1"/>
      <c r="AB47" s="47"/>
      <c r="AC47" s="7"/>
      <c r="AD47" s="7"/>
      <c r="AE47" s="7"/>
      <c r="AF47" s="7"/>
      <c r="AG47" s="7"/>
      <c r="AH47" s="7"/>
      <c r="AI47" s="7"/>
      <c r="AJ47" s="7"/>
      <c r="AK47" s="7"/>
      <c r="AL47" s="7"/>
      <c r="AM47" s="7"/>
      <c r="AN47" s="7"/>
      <c r="AO47" s="9"/>
      <c r="AP47" s="1"/>
      <c r="AQ47" s="1"/>
      <c r="AR47" s="1"/>
    </row>
    <row r="48" spans="1:44" ht="15.6" x14ac:dyDescent="0.3">
      <c r="A48" s="91">
        <f>VLOOKUP(B48,IRS!$L$4:$M$10,2,FALSE)</f>
        <v>0.35</v>
      </c>
      <c r="B48" s="92">
        <f>VLOOKUP(K48,IRS!$H$4:$L$10,5)</f>
        <v>0.30137920524691353</v>
      </c>
      <c r="C48" s="93">
        <f t="shared" si="5"/>
        <v>-14692.708436787865</v>
      </c>
      <c r="D48" s="3">
        <v>32</v>
      </c>
      <c r="E48" s="131">
        <f t="shared" si="6"/>
        <v>62</v>
      </c>
      <c r="F48" s="303">
        <f t="shared" si="0"/>
        <v>32</v>
      </c>
      <c r="G48" s="303"/>
      <c r="H48" s="304">
        <f t="shared" si="7"/>
        <v>3598708.250830946</v>
      </c>
      <c r="I48" s="304"/>
      <c r="J48" s="304"/>
      <c r="K48" s="304">
        <f t="shared" si="1"/>
        <v>250008.03453253492</v>
      </c>
      <c r="L48" s="304"/>
      <c r="M48" s="304"/>
      <c r="N48" s="305">
        <f t="shared" si="2"/>
        <v>48751.566733844309</v>
      </c>
      <c r="O48" s="305"/>
      <c r="P48" s="305"/>
      <c r="Q48" s="306">
        <f t="shared" si="3"/>
        <v>15000.482071952096</v>
      </c>
      <c r="R48" s="306"/>
      <c r="S48" s="306"/>
      <c r="T48" s="379">
        <f t="shared" si="4"/>
        <v>251909.57755816681</v>
      </c>
      <c r="U48" s="379"/>
      <c r="V48" s="379"/>
      <c r="W48" s="301">
        <f t="shared" si="8"/>
        <v>3914369.8771949089</v>
      </c>
      <c r="X48" s="301"/>
      <c r="Y48" s="301"/>
      <c r="Z48" s="41"/>
      <c r="AA48" s="1"/>
      <c r="AB48" s="47"/>
      <c r="AC48" s="314" t="s">
        <v>29</v>
      </c>
      <c r="AD48" s="314"/>
      <c r="AE48" s="314"/>
      <c r="AF48" s="314"/>
      <c r="AG48" s="314"/>
      <c r="AH48" s="314"/>
      <c r="AI48" s="314"/>
      <c r="AJ48" s="314"/>
      <c r="AK48" s="314"/>
      <c r="AL48" s="314"/>
      <c r="AM48" s="314"/>
      <c r="AN48" s="314"/>
      <c r="AO48" s="9"/>
      <c r="AP48" s="1"/>
      <c r="AQ48" s="1"/>
      <c r="AR48" s="1"/>
    </row>
    <row r="49" spans="1:44" x14ac:dyDescent="0.3">
      <c r="A49" s="91">
        <f>VLOOKUP(B49,IRS!$L$4:$M$10,2,FALSE)</f>
        <v>0.35</v>
      </c>
      <c r="B49" s="92">
        <f>VLOOKUP(K49,IRS!$H$4:$L$10,5)</f>
        <v>0.30137920524691353</v>
      </c>
      <c r="C49" s="93">
        <f t="shared" si="5"/>
        <v>-15133.489689891498</v>
      </c>
      <c r="D49" s="3">
        <v>33</v>
      </c>
      <c r="E49" s="131">
        <f t="shared" si="6"/>
        <v>63</v>
      </c>
      <c r="F49" s="308">
        <f t="shared" ref="F49:F76" si="9">IF(RetirementAge-CurrentAge&gt;=D49,D49,"")</f>
        <v>33</v>
      </c>
      <c r="G49" s="308"/>
      <c r="H49" s="309">
        <f t="shared" si="7"/>
        <v>3914369.8771949089</v>
      </c>
      <c r="I49" s="309"/>
      <c r="J49" s="309"/>
      <c r="K49" s="309">
        <f t="shared" ref="K49:K76" si="10">IF(F49="","",InitialIncome*POWER((1+IncomeIncreaseRate/100),F49-1))</f>
        <v>257508.27556851093</v>
      </c>
      <c r="L49" s="309"/>
      <c r="M49" s="309"/>
      <c r="N49" s="310">
        <f t="shared" ref="N49:N76" si="11">IF(F49="","",K49*WithheldRate/100)</f>
        <v>50214.113735859624</v>
      </c>
      <c r="O49" s="310"/>
      <c r="P49" s="310"/>
      <c r="Q49" s="311">
        <f t="shared" ref="Q49:Q76" si="12">IF(F49="","",K49*EmployerMatchRate/100*MIN(WithheldRate,EmployerMatchUpTo)/100)</f>
        <v>15450.496534110656</v>
      </c>
      <c r="R49" s="311"/>
      <c r="S49" s="311"/>
      <c r="T49" s="378">
        <f t="shared" ref="T49:T76" si="13">IF(F49="","",-FV(InterestRate/100/PaymentsPerYear,PaymentsPerYear,K49+N49,H49)-(K49+N49+H49))</f>
        <v>274005.89140364435</v>
      </c>
      <c r="U49" s="378"/>
      <c r="V49" s="378"/>
      <c r="W49" s="313">
        <f t="shared" si="8"/>
        <v>4254040.378868524</v>
      </c>
      <c r="X49" s="313"/>
      <c r="Y49" s="313"/>
      <c r="Z49" s="41"/>
      <c r="AA49" s="1"/>
      <c r="AB49" s="47"/>
      <c r="AC49" s="7"/>
      <c r="AD49" s="7"/>
      <c r="AE49" s="7"/>
      <c r="AF49" s="7"/>
      <c r="AG49" s="7"/>
      <c r="AH49" s="7"/>
      <c r="AI49" s="7"/>
      <c r="AJ49" s="7"/>
      <c r="AK49" s="7"/>
      <c r="AL49" s="7"/>
      <c r="AM49" s="7"/>
      <c r="AN49" s="7"/>
      <c r="AO49" s="9"/>
      <c r="AP49" s="1"/>
      <c r="AQ49" s="1"/>
      <c r="AR49" s="1"/>
    </row>
    <row r="50" spans="1:44" x14ac:dyDescent="0.3">
      <c r="A50" s="91">
        <f>VLOOKUP(B50,IRS!$L$4:$M$10,2,FALSE)</f>
        <v>0.35</v>
      </c>
      <c r="B50" s="92">
        <f>VLOOKUP(K50,IRS!$H$4:$L$10,5)</f>
        <v>0.30137920524691353</v>
      </c>
      <c r="C50" s="93">
        <f t="shared" si="5"/>
        <v>-15587.494380588243</v>
      </c>
      <c r="D50" s="3">
        <v>34</v>
      </c>
      <c r="E50" s="131">
        <f t="shared" si="6"/>
        <v>64</v>
      </c>
      <c r="F50" s="303">
        <f t="shared" si="9"/>
        <v>34</v>
      </c>
      <c r="G50" s="303"/>
      <c r="H50" s="304">
        <f t="shared" si="7"/>
        <v>4254040.378868524</v>
      </c>
      <c r="I50" s="304"/>
      <c r="J50" s="304"/>
      <c r="K50" s="304">
        <f t="shared" si="10"/>
        <v>265233.52383556624</v>
      </c>
      <c r="L50" s="304"/>
      <c r="M50" s="304"/>
      <c r="N50" s="305">
        <f t="shared" si="11"/>
        <v>51720.537147935414</v>
      </c>
      <c r="O50" s="305"/>
      <c r="P50" s="305"/>
      <c r="Q50" s="306">
        <f t="shared" si="12"/>
        <v>15914.011430133974</v>
      </c>
      <c r="R50" s="306"/>
      <c r="S50" s="306"/>
      <c r="T50" s="379">
        <f t="shared" si="13"/>
        <v>297782.8265207978</v>
      </c>
      <c r="U50" s="379"/>
      <c r="V50" s="379"/>
      <c r="W50" s="301">
        <f t="shared" si="8"/>
        <v>4619457.7539673913</v>
      </c>
      <c r="X50" s="301"/>
      <c r="Y50" s="301"/>
      <c r="Z50" s="41"/>
      <c r="AA50" s="1"/>
      <c r="AB50" s="47"/>
      <c r="AC50" s="7"/>
      <c r="AD50" s="7"/>
      <c r="AE50" s="7"/>
      <c r="AF50" s="7"/>
      <c r="AG50" s="7"/>
      <c r="AH50" s="7"/>
      <c r="AI50" s="7"/>
      <c r="AJ50" s="7"/>
      <c r="AK50" s="217">
        <f>AG4</f>
        <v>0.76470588235294124</v>
      </c>
      <c r="AL50" s="218" t="s">
        <v>114</v>
      </c>
      <c r="AM50" s="7"/>
      <c r="AN50" s="7"/>
      <c r="AO50" s="9"/>
      <c r="AP50" s="1"/>
      <c r="AQ50" s="1"/>
      <c r="AR50" s="1"/>
    </row>
    <row r="51" spans="1:44" x14ac:dyDescent="0.3">
      <c r="A51" s="91">
        <f>VLOOKUP(B51,IRS!$L$4:$M$10,2,FALSE)</f>
        <v>0.35</v>
      </c>
      <c r="B51" s="92">
        <f>VLOOKUP(K51,IRS!$H$4:$L$10,5)</f>
        <v>0.30137920524691353</v>
      </c>
      <c r="C51" s="93">
        <f t="shared" si="5"/>
        <v>-16055.119212005891</v>
      </c>
      <c r="D51" s="3">
        <v>35</v>
      </c>
      <c r="E51" s="131">
        <f t="shared" si="6"/>
        <v>65</v>
      </c>
      <c r="F51" s="308">
        <f t="shared" si="9"/>
        <v>35</v>
      </c>
      <c r="G51" s="308"/>
      <c r="H51" s="309">
        <f t="shared" si="7"/>
        <v>4619457.7539673913</v>
      </c>
      <c r="I51" s="309"/>
      <c r="J51" s="309"/>
      <c r="K51" s="309">
        <f t="shared" si="10"/>
        <v>273190.52955063322</v>
      </c>
      <c r="L51" s="309"/>
      <c r="M51" s="309"/>
      <c r="N51" s="310">
        <f t="shared" si="11"/>
        <v>53272.153262373482</v>
      </c>
      <c r="O51" s="310"/>
      <c r="P51" s="310"/>
      <c r="Q51" s="311">
        <f t="shared" si="12"/>
        <v>16391.431773037995</v>
      </c>
      <c r="R51" s="311"/>
      <c r="S51" s="311"/>
      <c r="T51" s="378">
        <f t="shared" si="13"/>
        <v>323362.04277771898</v>
      </c>
      <c r="U51" s="378"/>
      <c r="V51" s="378"/>
      <c r="W51" s="313">
        <f t="shared" si="8"/>
        <v>5012483.381780521</v>
      </c>
      <c r="X51" s="313"/>
      <c r="Y51" s="313"/>
      <c r="Z51" s="41"/>
      <c r="AA51" s="1"/>
      <c r="AB51" s="47"/>
      <c r="AC51" s="7"/>
      <c r="AD51" s="7"/>
      <c r="AE51" s="7"/>
      <c r="AF51" s="7"/>
      <c r="AG51" s="7"/>
      <c r="AH51" s="7"/>
      <c r="AI51" s="7"/>
      <c r="AJ51" s="7"/>
      <c r="AK51" s="7"/>
      <c r="AL51" s="7"/>
      <c r="AM51" s="7"/>
      <c r="AN51" s="7"/>
      <c r="AO51" s="9"/>
      <c r="AP51" s="1"/>
      <c r="AQ51" s="1"/>
      <c r="AR51" s="1"/>
    </row>
    <row r="52" spans="1:44" x14ac:dyDescent="0.3">
      <c r="A52" s="91" t="e">
        <f>VLOOKUP(B52,IRS!$L$4:$M$10,2,FALSE)</f>
        <v>#N/A</v>
      </c>
      <c r="B52" s="92" t="str">
        <f>IF(K52="","",VLOOKUP(K52,IRS!$I$4:$L$10,4))</f>
        <v/>
      </c>
      <c r="C52" s="93" t="str">
        <f t="shared" si="5"/>
        <v/>
      </c>
      <c r="D52" s="3">
        <v>36</v>
      </c>
      <c r="E52" s="131">
        <f t="shared" si="6"/>
        <v>66</v>
      </c>
      <c r="F52" s="303" t="str">
        <f t="shared" si="9"/>
        <v/>
      </c>
      <c r="G52" s="303"/>
      <c r="H52" s="304" t="str">
        <f t="shared" si="7"/>
        <v/>
      </c>
      <c r="I52" s="304"/>
      <c r="J52" s="304"/>
      <c r="K52" s="304" t="str">
        <f t="shared" si="10"/>
        <v/>
      </c>
      <c r="L52" s="304"/>
      <c r="M52" s="304"/>
      <c r="N52" s="305" t="str">
        <f t="shared" si="11"/>
        <v/>
      </c>
      <c r="O52" s="305"/>
      <c r="P52" s="305"/>
      <c r="Q52" s="306" t="str">
        <f t="shared" si="12"/>
        <v/>
      </c>
      <c r="R52" s="306"/>
      <c r="S52" s="306"/>
      <c r="T52" s="376" t="str">
        <f t="shared" si="13"/>
        <v/>
      </c>
      <c r="U52" s="376"/>
      <c r="V52" s="376"/>
      <c r="W52" s="301" t="str">
        <f t="shared" si="8"/>
        <v/>
      </c>
      <c r="X52" s="301"/>
      <c r="Y52" s="301"/>
      <c r="Z52" s="41"/>
      <c r="AA52" s="1"/>
      <c r="AB52" s="47"/>
      <c r="AC52" s="7"/>
      <c r="AD52" s="7"/>
      <c r="AE52" s="7"/>
      <c r="AF52" s="7"/>
      <c r="AG52" s="7"/>
      <c r="AH52" s="7"/>
      <c r="AI52" s="7"/>
      <c r="AJ52" s="7"/>
      <c r="AK52" s="7"/>
      <c r="AL52" s="7"/>
      <c r="AM52" s="7"/>
      <c r="AN52" s="7"/>
      <c r="AO52" s="9"/>
      <c r="AP52" s="1"/>
      <c r="AQ52" s="1"/>
      <c r="AR52" s="1"/>
    </row>
    <row r="53" spans="1:44" x14ac:dyDescent="0.3">
      <c r="A53" s="91" t="e">
        <f>VLOOKUP(B53,IRS!$L$4:$M$10,2,FALSE)</f>
        <v>#N/A</v>
      </c>
      <c r="B53" s="92" t="str">
        <f>IF(K53="","",VLOOKUP(K53,IRS!$I$4:$L$10,4))</f>
        <v/>
      </c>
      <c r="C53" s="93" t="str">
        <f t="shared" si="5"/>
        <v/>
      </c>
      <c r="D53" s="3">
        <v>37</v>
      </c>
      <c r="E53" s="131">
        <f t="shared" si="6"/>
        <v>67</v>
      </c>
      <c r="F53" s="308" t="str">
        <f t="shared" si="9"/>
        <v/>
      </c>
      <c r="G53" s="308"/>
      <c r="H53" s="309" t="str">
        <f t="shared" si="7"/>
        <v/>
      </c>
      <c r="I53" s="309"/>
      <c r="J53" s="309"/>
      <c r="K53" s="309" t="str">
        <f t="shared" si="10"/>
        <v/>
      </c>
      <c r="L53" s="309"/>
      <c r="M53" s="309"/>
      <c r="N53" s="310" t="str">
        <f t="shared" si="11"/>
        <v/>
      </c>
      <c r="O53" s="310"/>
      <c r="P53" s="310"/>
      <c r="Q53" s="311" t="str">
        <f t="shared" si="12"/>
        <v/>
      </c>
      <c r="R53" s="311"/>
      <c r="S53" s="311"/>
      <c r="T53" s="377" t="str">
        <f t="shared" si="13"/>
        <v/>
      </c>
      <c r="U53" s="377"/>
      <c r="V53" s="377"/>
      <c r="W53" s="313" t="str">
        <f t="shared" si="8"/>
        <v/>
      </c>
      <c r="X53" s="313"/>
      <c r="Y53" s="313"/>
      <c r="Z53" s="41"/>
      <c r="AA53" s="1"/>
      <c r="AB53" s="47"/>
      <c r="AC53" s="7"/>
      <c r="AD53" s="7"/>
      <c r="AE53" s="7"/>
      <c r="AF53" s="7"/>
      <c r="AG53" s="7"/>
      <c r="AH53" s="7"/>
      <c r="AI53" s="7"/>
      <c r="AJ53" s="7"/>
      <c r="AK53" s="7"/>
      <c r="AL53" s="7"/>
      <c r="AM53" s="7"/>
      <c r="AN53" s="7"/>
      <c r="AO53" s="9"/>
      <c r="AP53" s="1"/>
      <c r="AQ53" s="1"/>
      <c r="AR53" s="1"/>
    </row>
    <row r="54" spans="1:44" x14ac:dyDescent="0.3">
      <c r="A54" s="91" t="e">
        <f>VLOOKUP(B54,IRS!$L$4:$M$10,2,FALSE)</f>
        <v>#N/A</v>
      </c>
      <c r="B54" s="92" t="str">
        <f>IF(K54="","",VLOOKUP(K54,IRS!$I$4:$L$10,4))</f>
        <v/>
      </c>
      <c r="C54" s="93" t="str">
        <f t="shared" si="5"/>
        <v/>
      </c>
      <c r="D54" s="3">
        <v>38</v>
      </c>
      <c r="E54" s="131">
        <f>E53+1</f>
        <v>68</v>
      </c>
      <c r="F54" s="303" t="str">
        <f t="shared" si="9"/>
        <v/>
      </c>
      <c r="G54" s="303"/>
      <c r="H54" s="304" t="str">
        <f t="shared" si="7"/>
        <v/>
      </c>
      <c r="I54" s="304"/>
      <c r="J54" s="304"/>
      <c r="K54" s="304" t="str">
        <f t="shared" si="10"/>
        <v/>
      </c>
      <c r="L54" s="304"/>
      <c r="M54" s="304"/>
      <c r="N54" s="305" t="str">
        <f t="shared" si="11"/>
        <v/>
      </c>
      <c r="O54" s="305"/>
      <c r="P54" s="305"/>
      <c r="Q54" s="306" t="str">
        <f t="shared" si="12"/>
        <v/>
      </c>
      <c r="R54" s="306"/>
      <c r="S54" s="306"/>
      <c r="T54" s="376" t="str">
        <f t="shared" si="13"/>
        <v/>
      </c>
      <c r="U54" s="376"/>
      <c r="V54" s="376"/>
      <c r="W54" s="301" t="str">
        <f t="shared" si="8"/>
        <v/>
      </c>
      <c r="X54" s="301"/>
      <c r="Y54" s="301"/>
      <c r="Z54" s="41"/>
      <c r="AA54" s="1"/>
      <c r="AB54" s="47"/>
      <c r="AC54" s="7"/>
      <c r="AD54" s="7"/>
      <c r="AE54" s="7"/>
      <c r="AF54" s="7"/>
      <c r="AG54" s="7"/>
      <c r="AH54" s="7"/>
      <c r="AI54" s="7"/>
      <c r="AJ54" s="7"/>
      <c r="AK54" s="7"/>
      <c r="AL54" s="7"/>
      <c r="AM54" s="7"/>
      <c r="AN54" s="7"/>
      <c r="AO54" s="9"/>
      <c r="AP54" s="1"/>
      <c r="AQ54" s="1"/>
      <c r="AR54" s="1"/>
    </row>
    <row r="55" spans="1:44" x14ac:dyDescent="0.3">
      <c r="A55" s="91" t="e">
        <f>VLOOKUP(B55,IRS!$L$4:$M$10,2,FALSE)</f>
        <v>#N/A</v>
      </c>
      <c r="B55" s="92" t="str">
        <f>IF(K55="","",VLOOKUP(K55,IRS!$I$4:$L$10,4))</f>
        <v/>
      </c>
      <c r="C55" s="93" t="str">
        <f t="shared" si="5"/>
        <v/>
      </c>
      <c r="D55" s="3">
        <v>39</v>
      </c>
      <c r="E55" s="131">
        <f t="shared" si="6"/>
        <v>69</v>
      </c>
      <c r="F55" s="308" t="str">
        <f t="shared" si="9"/>
        <v/>
      </c>
      <c r="G55" s="308"/>
      <c r="H55" s="309" t="str">
        <f t="shared" si="7"/>
        <v/>
      </c>
      <c r="I55" s="309"/>
      <c r="J55" s="309"/>
      <c r="K55" s="309" t="str">
        <f t="shared" si="10"/>
        <v/>
      </c>
      <c r="L55" s="309"/>
      <c r="M55" s="309"/>
      <c r="N55" s="310" t="str">
        <f t="shared" si="11"/>
        <v/>
      </c>
      <c r="O55" s="310"/>
      <c r="P55" s="310"/>
      <c r="Q55" s="311" t="str">
        <f t="shared" si="12"/>
        <v/>
      </c>
      <c r="R55" s="311"/>
      <c r="S55" s="311"/>
      <c r="T55" s="377" t="str">
        <f t="shared" si="13"/>
        <v/>
      </c>
      <c r="U55" s="377"/>
      <c r="V55" s="377"/>
      <c r="W55" s="313" t="str">
        <f t="shared" si="8"/>
        <v/>
      </c>
      <c r="X55" s="313"/>
      <c r="Y55" s="313"/>
      <c r="Z55" s="41"/>
      <c r="AA55" s="1"/>
      <c r="AB55" s="47"/>
      <c r="AC55" s="7"/>
      <c r="AD55" s="7"/>
      <c r="AE55" s="7"/>
      <c r="AF55" s="7"/>
      <c r="AG55" s="7"/>
      <c r="AH55" s="7"/>
      <c r="AI55" s="7"/>
      <c r="AJ55" s="7"/>
      <c r="AK55" s="7"/>
      <c r="AL55" s="7"/>
      <c r="AM55" s="7"/>
      <c r="AN55" s="7"/>
      <c r="AO55" s="9"/>
      <c r="AP55" s="1"/>
      <c r="AQ55" s="1"/>
      <c r="AR55" s="1"/>
    </row>
    <row r="56" spans="1:44" x14ac:dyDescent="0.3">
      <c r="A56" s="91" t="e">
        <f>VLOOKUP(B56,IRS!$L$4:$M$10,2,FALSE)</f>
        <v>#N/A</v>
      </c>
      <c r="B56" s="92" t="str">
        <f>IF(K56="","",VLOOKUP(K56,IRS!$I$4:$L$10,4))</f>
        <v/>
      </c>
      <c r="C56" s="93" t="str">
        <f t="shared" si="5"/>
        <v/>
      </c>
      <c r="D56" s="3">
        <v>40</v>
      </c>
      <c r="E56" s="131">
        <f t="shared" si="6"/>
        <v>70</v>
      </c>
      <c r="F56" s="303" t="str">
        <f t="shared" si="9"/>
        <v/>
      </c>
      <c r="G56" s="303"/>
      <c r="H56" s="304" t="str">
        <f t="shared" si="7"/>
        <v/>
      </c>
      <c r="I56" s="304"/>
      <c r="J56" s="304"/>
      <c r="K56" s="304" t="str">
        <f t="shared" si="10"/>
        <v/>
      </c>
      <c r="L56" s="304"/>
      <c r="M56" s="304"/>
      <c r="N56" s="305" t="str">
        <f t="shared" si="11"/>
        <v/>
      </c>
      <c r="O56" s="305"/>
      <c r="P56" s="305"/>
      <c r="Q56" s="306" t="str">
        <f t="shared" si="12"/>
        <v/>
      </c>
      <c r="R56" s="306"/>
      <c r="S56" s="306"/>
      <c r="T56" s="376" t="str">
        <f t="shared" si="13"/>
        <v/>
      </c>
      <c r="U56" s="376"/>
      <c r="V56" s="376"/>
      <c r="W56" s="301" t="str">
        <f t="shared" si="8"/>
        <v/>
      </c>
      <c r="X56" s="301"/>
      <c r="Y56" s="301"/>
      <c r="Z56" s="41"/>
      <c r="AA56" s="1"/>
      <c r="AB56" s="47"/>
      <c r="AC56" s="7"/>
      <c r="AD56" s="7"/>
      <c r="AE56" s="7"/>
      <c r="AF56" s="7"/>
      <c r="AG56" s="7"/>
      <c r="AH56" s="7"/>
      <c r="AI56" s="7"/>
      <c r="AJ56" s="7"/>
      <c r="AK56" s="7"/>
      <c r="AL56" s="7"/>
      <c r="AM56" s="7"/>
      <c r="AN56" s="7"/>
      <c r="AO56" s="9"/>
      <c r="AP56" s="1"/>
      <c r="AQ56" s="1"/>
      <c r="AR56" s="1"/>
    </row>
    <row r="57" spans="1:44" x14ac:dyDescent="0.3">
      <c r="A57" s="91" t="e">
        <f>VLOOKUP(B57,IRS!$L$4:$M$10,2,FALSE)</f>
        <v>#N/A</v>
      </c>
      <c r="B57" s="92" t="str">
        <f>IF(K57="","",VLOOKUP(K57,IRS!$I$4:$L$10,4))</f>
        <v/>
      </c>
      <c r="C57" s="93" t="str">
        <f t="shared" si="5"/>
        <v/>
      </c>
      <c r="D57" s="3">
        <v>41</v>
      </c>
      <c r="E57" s="131">
        <f t="shared" si="6"/>
        <v>71</v>
      </c>
      <c r="F57" s="308" t="str">
        <f t="shared" si="9"/>
        <v/>
      </c>
      <c r="G57" s="308"/>
      <c r="H57" s="309" t="str">
        <f t="shared" si="7"/>
        <v/>
      </c>
      <c r="I57" s="309"/>
      <c r="J57" s="309"/>
      <c r="K57" s="309" t="str">
        <f t="shared" si="10"/>
        <v/>
      </c>
      <c r="L57" s="309"/>
      <c r="M57" s="309"/>
      <c r="N57" s="310" t="str">
        <f t="shared" si="11"/>
        <v/>
      </c>
      <c r="O57" s="310"/>
      <c r="P57" s="310"/>
      <c r="Q57" s="311" t="str">
        <f t="shared" si="12"/>
        <v/>
      </c>
      <c r="R57" s="311"/>
      <c r="S57" s="311"/>
      <c r="T57" s="377" t="str">
        <f t="shared" si="13"/>
        <v/>
      </c>
      <c r="U57" s="377"/>
      <c r="V57" s="377"/>
      <c r="W57" s="313" t="str">
        <f t="shared" si="8"/>
        <v/>
      </c>
      <c r="X57" s="313"/>
      <c r="Y57" s="313"/>
      <c r="Z57" s="41"/>
      <c r="AA57" s="1"/>
      <c r="AB57" s="47"/>
      <c r="AC57" s="7"/>
      <c r="AD57" s="7"/>
      <c r="AE57" s="7"/>
      <c r="AF57" s="7"/>
      <c r="AG57" s="7"/>
      <c r="AH57" s="7"/>
      <c r="AI57" s="7"/>
      <c r="AJ57" s="7"/>
      <c r="AK57" s="7"/>
      <c r="AL57" s="7"/>
      <c r="AM57" s="7"/>
      <c r="AN57" s="7"/>
      <c r="AO57" s="9"/>
      <c r="AP57" s="1"/>
      <c r="AQ57" s="1"/>
      <c r="AR57" s="1"/>
    </row>
    <row r="58" spans="1:44" x14ac:dyDescent="0.3">
      <c r="A58" s="91" t="e">
        <f>VLOOKUP(B58,IRS!$L$4:$M$10,2,FALSE)</f>
        <v>#N/A</v>
      </c>
      <c r="B58" s="92" t="str">
        <f>IF(K58="","",VLOOKUP(K58,IRS!$I$4:$L$10,4))</f>
        <v/>
      </c>
      <c r="C58" s="93" t="str">
        <f t="shared" si="5"/>
        <v/>
      </c>
      <c r="D58" s="3">
        <v>42</v>
      </c>
      <c r="E58" s="131">
        <f t="shared" si="6"/>
        <v>72</v>
      </c>
      <c r="F58" s="303" t="str">
        <f t="shared" si="9"/>
        <v/>
      </c>
      <c r="G58" s="303"/>
      <c r="H58" s="304" t="str">
        <f t="shared" si="7"/>
        <v/>
      </c>
      <c r="I58" s="304"/>
      <c r="J58" s="304"/>
      <c r="K58" s="304" t="str">
        <f t="shared" si="10"/>
        <v/>
      </c>
      <c r="L58" s="304"/>
      <c r="M58" s="304"/>
      <c r="N58" s="305" t="str">
        <f t="shared" si="11"/>
        <v/>
      </c>
      <c r="O58" s="305"/>
      <c r="P58" s="305"/>
      <c r="Q58" s="306" t="str">
        <f t="shared" si="12"/>
        <v/>
      </c>
      <c r="R58" s="306"/>
      <c r="S58" s="306"/>
      <c r="T58" s="376" t="str">
        <f t="shared" si="13"/>
        <v/>
      </c>
      <c r="U58" s="376"/>
      <c r="V58" s="376"/>
      <c r="W58" s="301" t="str">
        <f t="shared" si="8"/>
        <v/>
      </c>
      <c r="X58" s="301"/>
      <c r="Y58" s="301"/>
      <c r="Z58" s="41"/>
      <c r="AA58" s="1"/>
      <c r="AB58" s="47"/>
      <c r="AC58" s="7"/>
      <c r="AD58" s="7"/>
      <c r="AE58" s="7"/>
      <c r="AF58" s="7"/>
      <c r="AG58" s="7"/>
      <c r="AH58" s="7"/>
      <c r="AI58" s="7"/>
      <c r="AJ58" s="7"/>
      <c r="AK58" s="7"/>
      <c r="AL58" s="7"/>
      <c r="AM58" s="7"/>
      <c r="AN58" s="7"/>
      <c r="AO58" s="9"/>
      <c r="AP58" s="1"/>
      <c r="AQ58" s="1"/>
      <c r="AR58" s="1"/>
    </row>
    <row r="59" spans="1:44" x14ac:dyDescent="0.3">
      <c r="A59" s="91" t="e">
        <f>VLOOKUP(B59,IRS!$L$4:$M$10,2,FALSE)</f>
        <v>#N/A</v>
      </c>
      <c r="B59" s="92" t="str">
        <f>IF(K59="","",VLOOKUP(K59,IRS!$I$4:$L$10,4))</f>
        <v/>
      </c>
      <c r="C59" s="93" t="str">
        <f t="shared" si="5"/>
        <v/>
      </c>
      <c r="D59" s="3">
        <v>43</v>
      </c>
      <c r="E59" s="131">
        <f t="shared" si="6"/>
        <v>73</v>
      </c>
      <c r="F59" s="308" t="str">
        <f t="shared" si="9"/>
        <v/>
      </c>
      <c r="G59" s="308"/>
      <c r="H59" s="309" t="str">
        <f t="shared" si="7"/>
        <v/>
      </c>
      <c r="I59" s="309"/>
      <c r="J59" s="309"/>
      <c r="K59" s="309" t="str">
        <f t="shared" si="10"/>
        <v/>
      </c>
      <c r="L59" s="309"/>
      <c r="M59" s="309"/>
      <c r="N59" s="310" t="str">
        <f t="shared" si="11"/>
        <v/>
      </c>
      <c r="O59" s="310"/>
      <c r="P59" s="310"/>
      <c r="Q59" s="311" t="str">
        <f t="shared" si="12"/>
        <v/>
      </c>
      <c r="R59" s="311"/>
      <c r="S59" s="311"/>
      <c r="T59" s="377" t="str">
        <f t="shared" si="13"/>
        <v/>
      </c>
      <c r="U59" s="377"/>
      <c r="V59" s="377"/>
      <c r="W59" s="313" t="str">
        <f t="shared" si="8"/>
        <v/>
      </c>
      <c r="X59" s="313"/>
      <c r="Y59" s="313"/>
      <c r="Z59" s="41"/>
      <c r="AA59" s="1"/>
      <c r="AB59" s="47"/>
      <c r="AC59" s="7"/>
      <c r="AD59" s="7"/>
      <c r="AE59" s="7"/>
      <c r="AF59" s="7"/>
      <c r="AG59" s="7"/>
      <c r="AH59" s="7"/>
      <c r="AI59" s="7"/>
      <c r="AJ59" s="7"/>
      <c r="AK59" s="7"/>
      <c r="AL59" s="7"/>
      <c r="AM59" s="7"/>
      <c r="AN59" s="7"/>
      <c r="AO59" s="9"/>
      <c r="AP59" s="1"/>
      <c r="AQ59" s="1"/>
      <c r="AR59" s="1"/>
    </row>
    <row r="60" spans="1:44" x14ac:dyDescent="0.3">
      <c r="A60" s="91" t="e">
        <f>VLOOKUP(B60,IRS!$L$4:$M$10,2,FALSE)</f>
        <v>#N/A</v>
      </c>
      <c r="B60" s="92" t="str">
        <f>IF(K60="","",VLOOKUP(K60,IRS!$I$4:$L$10,4))</f>
        <v/>
      </c>
      <c r="C60" s="93" t="str">
        <f t="shared" si="5"/>
        <v/>
      </c>
      <c r="D60" s="3">
        <v>44</v>
      </c>
      <c r="E60" s="131">
        <f t="shared" si="6"/>
        <v>74</v>
      </c>
      <c r="F60" s="303" t="str">
        <f t="shared" si="9"/>
        <v/>
      </c>
      <c r="G60" s="303"/>
      <c r="H60" s="304" t="str">
        <f t="shared" si="7"/>
        <v/>
      </c>
      <c r="I60" s="304"/>
      <c r="J60" s="304"/>
      <c r="K60" s="304" t="str">
        <f t="shared" si="10"/>
        <v/>
      </c>
      <c r="L60" s="304"/>
      <c r="M60" s="304"/>
      <c r="N60" s="305" t="str">
        <f t="shared" si="11"/>
        <v/>
      </c>
      <c r="O60" s="305"/>
      <c r="P60" s="305"/>
      <c r="Q60" s="306" t="str">
        <f t="shared" si="12"/>
        <v/>
      </c>
      <c r="R60" s="306"/>
      <c r="S60" s="306"/>
      <c r="T60" s="376" t="str">
        <f t="shared" si="13"/>
        <v/>
      </c>
      <c r="U60" s="376"/>
      <c r="V60" s="376"/>
      <c r="W60" s="301" t="str">
        <f t="shared" si="8"/>
        <v/>
      </c>
      <c r="X60" s="301"/>
      <c r="Y60" s="301"/>
      <c r="Z60" s="41"/>
      <c r="AA60" s="1"/>
      <c r="AB60" s="47"/>
      <c r="AC60" s="7"/>
      <c r="AD60" s="7"/>
      <c r="AE60" s="7"/>
      <c r="AF60" s="7"/>
      <c r="AG60" s="7"/>
      <c r="AH60" s="7"/>
      <c r="AI60" s="7"/>
      <c r="AJ60" s="7"/>
      <c r="AK60" s="7"/>
      <c r="AL60" s="7"/>
      <c r="AM60" s="7"/>
      <c r="AN60" s="7"/>
      <c r="AO60" s="9"/>
      <c r="AP60" s="1"/>
      <c r="AQ60" s="1"/>
      <c r="AR60" s="1"/>
    </row>
    <row r="61" spans="1:44" x14ac:dyDescent="0.3">
      <c r="A61" s="91" t="e">
        <f>VLOOKUP(B61,IRS!$L$4:$M$10,2,FALSE)</f>
        <v>#N/A</v>
      </c>
      <c r="B61" s="92" t="str">
        <f>IF(K61="","",VLOOKUP(K61,IRS!$I$4:$L$10,4))</f>
        <v/>
      </c>
      <c r="C61" s="93" t="str">
        <f t="shared" si="5"/>
        <v/>
      </c>
      <c r="D61" s="3">
        <v>45</v>
      </c>
      <c r="E61" s="131">
        <f t="shared" si="6"/>
        <v>75</v>
      </c>
      <c r="F61" s="308" t="str">
        <f t="shared" si="9"/>
        <v/>
      </c>
      <c r="G61" s="308"/>
      <c r="H61" s="309" t="str">
        <f t="shared" si="7"/>
        <v/>
      </c>
      <c r="I61" s="309"/>
      <c r="J61" s="309"/>
      <c r="K61" s="309" t="str">
        <f t="shared" si="10"/>
        <v/>
      </c>
      <c r="L61" s="309"/>
      <c r="M61" s="309"/>
      <c r="N61" s="310" t="str">
        <f t="shared" si="11"/>
        <v/>
      </c>
      <c r="O61" s="310"/>
      <c r="P61" s="310"/>
      <c r="Q61" s="311" t="str">
        <f t="shared" si="12"/>
        <v/>
      </c>
      <c r="R61" s="311"/>
      <c r="S61" s="311"/>
      <c r="T61" s="377" t="str">
        <f t="shared" si="13"/>
        <v/>
      </c>
      <c r="U61" s="377"/>
      <c r="V61" s="377"/>
      <c r="W61" s="313" t="str">
        <f t="shared" si="8"/>
        <v/>
      </c>
      <c r="X61" s="313"/>
      <c r="Y61" s="313"/>
      <c r="Z61" s="41"/>
      <c r="AA61" s="1"/>
      <c r="AB61" s="47"/>
      <c r="AC61" s="7"/>
      <c r="AD61" s="7"/>
      <c r="AE61" s="7"/>
      <c r="AF61" s="7"/>
      <c r="AG61" s="7"/>
      <c r="AH61" s="7"/>
      <c r="AI61" s="7"/>
      <c r="AJ61" s="7"/>
      <c r="AK61" s="7"/>
      <c r="AL61" s="7"/>
      <c r="AM61" s="7"/>
      <c r="AN61" s="7"/>
      <c r="AO61" s="9"/>
      <c r="AP61" s="1"/>
      <c r="AQ61" s="1"/>
      <c r="AR61" s="1"/>
    </row>
    <row r="62" spans="1:44" x14ac:dyDescent="0.3">
      <c r="A62" s="91" t="e">
        <f>VLOOKUP(B62,IRS!$L$4:$M$10,2,FALSE)</f>
        <v>#N/A</v>
      </c>
      <c r="B62" s="92" t="str">
        <f>IF(K62="","",VLOOKUP(K62,IRS!$I$4:$L$10,4))</f>
        <v/>
      </c>
      <c r="C62" s="93" t="str">
        <f t="shared" si="5"/>
        <v/>
      </c>
      <c r="D62" s="3">
        <v>46</v>
      </c>
      <c r="E62" s="131">
        <f t="shared" si="6"/>
        <v>76</v>
      </c>
      <c r="F62" s="303" t="str">
        <f t="shared" si="9"/>
        <v/>
      </c>
      <c r="G62" s="303"/>
      <c r="H62" s="304" t="str">
        <f t="shared" si="7"/>
        <v/>
      </c>
      <c r="I62" s="304"/>
      <c r="J62" s="304"/>
      <c r="K62" s="304" t="str">
        <f t="shared" si="10"/>
        <v/>
      </c>
      <c r="L62" s="304"/>
      <c r="M62" s="304"/>
      <c r="N62" s="305" t="str">
        <f t="shared" si="11"/>
        <v/>
      </c>
      <c r="O62" s="305"/>
      <c r="P62" s="305"/>
      <c r="Q62" s="306" t="str">
        <f t="shared" si="12"/>
        <v/>
      </c>
      <c r="R62" s="306"/>
      <c r="S62" s="306"/>
      <c r="T62" s="376" t="str">
        <f t="shared" si="13"/>
        <v/>
      </c>
      <c r="U62" s="376"/>
      <c r="V62" s="376"/>
      <c r="W62" s="301" t="str">
        <f t="shared" si="8"/>
        <v/>
      </c>
      <c r="X62" s="301"/>
      <c r="Y62" s="301"/>
      <c r="Z62" s="41"/>
      <c r="AA62" s="1"/>
      <c r="AB62" s="47"/>
      <c r="AC62" s="7"/>
      <c r="AD62" s="7"/>
      <c r="AE62" s="7"/>
      <c r="AF62" s="7"/>
      <c r="AG62" s="7"/>
      <c r="AH62" s="7"/>
      <c r="AI62" s="7"/>
      <c r="AJ62" s="7"/>
      <c r="AK62" s="7"/>
      <c r="AL62" s="7"/>
      <c r="AM62" s="7"/>
      <c r="AN62" s="7"/>
      <c r="AO62" s="9"/>
      <c r="AP62" s="1"/>
      <c r="AQ62" s="1"/>
      <c r="AR62" s="1"/>
    </row>
    <row r="63" spans="1:44" x14ac:dyDescent="0.3">
      <c r="A63" s="91" t="e">
        <f>VLOOKUP(B63,IRS!$L$4:$M$10,2,FALSE)</f>
        <v>#N/A</v>
      </c>
      <c r="B63" s="92" t="str">
        <f>IF(K63="","",VLOOKUP(K63,IRS!$I$4:$L$10,4))</f>
        <v/>
      </c>
      <c r="C63" s="93" t="str">
        <f t="shared" si="5"/>
        <v/>
      </c>
      <c r="D63" s="3">
        <v>47</v>
      </c>
      <c r="E63" s="131">
        <f t="shared" si="6"/>
        <v>77</v>
      </c>
      <c r="F63" s="308" t="str">
        <f t="shared" si="9"/>
        <v/>
      </c>
      <c r="G63" s="308"/>
      <c r="H63" s="309" t="str">
        <f t="shared" si="7"/>
        <v/>
      </c>
      <c r="I63" s="309"/>
      <c r="J63" s="309"/>
      <c r="K63" s="309" t="str">
        <f t="shared" si="10"/>
        <v/>
      </c>
      <c r="L63" s="309"/>
      <c r="M63" s="309"/>
      <c r="N63" s="310" t="str">
        <f t="shared" si="11"/>
        <v/>
      </c>
      <c r="O63" s="310"/>
      <c r="P63" s="310"/>
      <c r="Q63" s="311" t="str">
        <f t="shared" si="12"/>
        <v/>
      </c>
      <c r="R63" s="311"/>
      <c r="S63" s="311"/>
      <c r="T63" s="377" t="str">
        <f t="shared" si="13"/>
        <v/>
      </c>
      <c r="U63" s="377"/>
      <c r="V63" s="377"/>
      <c r="W63" s="313" t="str">
        <f t="shared" si="8"/>
        <v/>
      </c>
      <c r="X63" s="313"/>
      <c r="Y63" s="313"/>
      <c r="Z63" s="41"/>
      <c r="AA63" s="1"/>
      <c r="AB63" s="47"/>
      <c r="AC63" s="7"/>
      <c r="AD63" s="7"/>
      <c r="AE63" s="7"/>
      <c r="AF63" s="7"/>
      <c r="AG63" s="7" t="s">
        <v>136</v>
      </c>
      <c r="AH63" s="7"/>
      <c r="AI63" s="7"/>
      <c r="AJ63" s="7"/>
      <c r="AK63" s="7"/>
      <c r="AL63" s="7"/>
      <c r="AM63" s="7"/>
      <c r="AN63" s="7"/>
      <c r="AO63" s="9"/>
      <c r="AP63" s="1"/>
      <c r="AQ63" s="1"/>
      <c r="AR63" s="1"/>
    </row>
    <row r="64" spans="1:44" x14ac:dyDescent="0.3">
      <c r="A64" s="91" t="e">
        <f>VLOOKUP(B64,IRS!$L$4:$M$10,2,FALSE)</f>
        <v>#N/A</v>
      </c>
      <c r="B64" s="92" t="str">
        <f>IF(K64="","",VLOOKUP(K64,IRS!$I$4:$L$10,4))</f>
        <v/>
      </c>
      <c r="C64" s="93" t="str">
        <f t="shared" si="5"/>
        <v/>
      </c>
      <c r="D64" s="3">
        <v>48</v>
      </c>
      <c r="E64" s="131">
        <f t="shared" si="6"/>
        <v>78</v>
      </c>
      <c r="F64" s="303" t="str">
        <f t="shared" si="9"/>
        <v/>
      </c>
      <c r="G64" s="303"/>
      <c r="H64" s="304" t="str">
        <f t="shared" si="7"/>
        <v/>
      </c>
      <c r="I64" s="304"/>
      <c r="J64" s="304"/>
      <c r="K64" s="304" t="str">
        <f t="shared" si="10"/>
        <v/>
      </c>
      <c r="L64" s="304"/>
      <c r="M64" s="304"/>
      <c r="N64" s="305" t="str">
        <f t="shared" si="11"/>
        <v/>
      </c>
      <c r="O64" s="305"/>
      <c r="P64" s="305"/>
      <c r="Q64" s="306" t="str">
        <f t="shared" si="12"/>
        <v/>
      </c>
      <c r="R64" s="306"/>
      <c r="S64" s="306"/>
      <c r="T64" s="376" t="str">
        <f t="shared" si="13"/>
        <v/>
      </c>
      <c r="U64" s="376"/>
      <c r="V64" s="376"/>
      <c r="W64" s="301" t="str">
        <f t="shared" si="8"/>
        <v/>
      </c>
      <c r="X64" s="301"/>
      <c r="Y64" s="301"/>
      <c r="Z64" s="41"/>
      <c r="AA64" s="1"/>
      <c r="AB64" s="47"/>
      <c r="AC64" s="7"/>
      <c r="AD64" s="7"/>
      <c r="AE64" s="7"/>
      <c r="AF64" s="7"/>
      <c r="AG64" s="7"/>
      <c r="AH64" s="7"/>
      <c r="AI64" s="7"/>
      <c r="AJ64" s="7"/>
      <c r="AK64" s="7"/>
      <c r="AL64" s="7"/>
      <c r="AM64" s="7"/>
      <c r="AN64" s="7"/>
      <c r="AO64" s="9"/>
      <c r="AP64" s="1"/>
      <c r="AQ64" s="1"/>
      <c r="AR64" s="1"/>
    </row>
    <row r="65" spans="1:44" ht="15" thickBot="1" x14ac:dyDescent="0.35">
      <c r="A65" s="91" t="e">
        <f>VLOOKUP(B65,IRS!$L$4:$M$10,2,FALSE)</f>
        <v>#N/A</v>
      </c>
      <c r="B65" s="92" t="str">
        <f>IF(K65="","",VLOOKUP(K65,IRS!$I$4:$L$10,4))</f>
        <v/>
      </c>
      <c r="C65" s="93" t="str">
        <f t="shared" si="5"/>
        <v/>
      </c>
      <c r="D65" s="3">
        <v>49</v>
      </c>
      <c r="E65" s="131">
        <f t="shared" si="6"/>
        <v>79</v>
      </c>
      <c r="F65" s="308" t="str">
        <f t="shared" si="9"/>
        <v/>
      </c>
      <c r="G65" s="308"/>
      <c r="H65" s="309" t="str">
        <f t="shared" si="7"/>
        <v/>
      </c>
      <c r="I65" s="309"/>
      <c r="J65" s="309"/>
      <c r="K65" s="309" t="str">
        <f t="shared" si="10"/>
        <v/>
      </c>
      <c r="L65" s="309"/>
      <c r="M65" s="309"/>
      <c r="N65" s="310" t="str">
        <f t="shared" si="11"/>
        <v/>
      </c>
      <c r="O65" s="310"/>
      <c r="P65" s="310"/>
      <c r="Q65" s="311" t="str">
        <f t="shared" si="12"/>
        <v/>
      </c>
      <c r="R65" s="311"/>
      <c r="S65" s="311"/>
      <c r="T65" s="377" t="str">
        <f t="shared" si="13"/>
        <v/>
      </c>
      <c r="U65" s="377"/>
      <c r="V65" s="377"/>
      <c r="W65" s="313" t="str">
        <f t="shared" si="8"/>
        <v/>
      </c>
      <c r="X65" s="313"/>
      <c r="Y65" s="313"/>
      <c r="Z65" s="41"/>
      <c r="AA65" s="1"/>
      <c r="AB65" s="49"/>
      <c r="AC65" s="8"/>
      <c r="AD65" s="8"/>
      <c r="AE65" s="8"/>
      <c r="AF65" s="8"/>
      <c r="AG65" s="8"/>
      <c r="AH65" s="8"/>
      <c r="AI65" s="8"/>
      <c r="AJ65" s="8"/>
      <c r="AK65" s="8"/>
      <c r="AL65" s="8"/>
      <c r="AM65" s="8"/>
      <c r="AN65" s="8"/>
      <c r="AO65" s="50"/>
      <c r="AP65" s="1"/>
      <c r="AQ65" s="1"/>
      <c r="AR65" s="1"/>
    </row>
    <row r="66" spans="1:44" ht="15" thickTop="1" x14ac:dyDescent="0.3">
      <c r="A66" s="91" t="e">
        <f>VLOOKUP(B66,IRS!$L$4:$M$10,2,FALSE)</f>
        <v>#N/A</v>
      </c>
      <c r="B66" s="92" t="str">
        <f>IF(K66="","",VLOOKUP(K66,IRS!$I$4:$L$10,4))</f>
        <v/>
      </c>
      <c r="C66" s="93" t="str">
        <f t="shared" si="5"/>
        <v/>
      </c>
      <c r="D66" s="3">
        <v>50</v>
      </c>
      <c r="E66" s="131">
        <f t="shared" si="6"/>
        <v>80</v>
      </c>
      <c r="F66" s="303" t="str">
        <f t="shared" si="9"/>
        <v/>
      </c>
      <c r="G66" s="303"/>
      <c r="H66" s="304" t="str">
        <f t="shared" si="7"/>
        <v/>
      </c>
      <c r="I66" s="304"/>
      <c r="J66" s="304"/>
      <c r="K66" s="304" t="str">
        <f t="shared" si="10"/>
        <v/>
      </c>
      <c r="L66" s="304"/>
      <c r="M66" s="304"/>
      <c r="N66" s="305" t="str">
        <f t="shared" si="11"/>
        <v/>
      </c>
      <c r="O66" s="305"/>
      <c r="P66" s="305"/>
      <c r="Q66" s="306" t="str">
        <f t="shared" si="12"/>
        <v/>
      </c>
      <c r="R66" s="306"/>
      <c r="S66" s="306"/>
      <c r="T66" s="376" t="str">
        <f t="shared" si="13"/>
        <v/>
      </c>
      <c r="U66" s="376"/>
      <c r="V66" s="376"/>
      <c r="W66" s="301" t="str">
        <f t="shared" si="8"/>
        <v/>
      </c>
      <c r="X66" s="301"/>
      <c r="Y66" s="301"/>
      <c r="Z66" s="41"/>
      <c r="AA66" s="1"/>
      <c r="AB66" s="1"/>
      <c r="AC66" s="1"/>
      <c r="AD66" s="1"/>
      <c r="AE66" s="1"/>
      <c r="AF66" s="1"/>
      <c r="AG66" s="1"/>
      <c r="AH66" s="1"/>
      <c r="AI66" s="1"/>
      <c r="AJ66" s="1"/>
      <c r="AK66" s="1"/>
      <c r="AL66" s="1"/>
      <c r="AM66" s="1"/>
      <c r="AN66" s="1"/>
      <c r="AO66" s="1"/>
      <c r="AP66" s="1"/>
      <c r="AQ66" s="1"/>
      <c r="AR66" s="1"/>
    </row>
    <row r="67" spans="1:44" x14ac:dyDescent="0.3">
      <c r="A67" s="91" t="e">
        <f>VLOOKUP(B67,IRS!$L$4:$M$10,2,FALSE)</f>
        <v>#N/A</v>
      </c>
      <c r="B67" s="92" t="str">
        <f>IF(K67="","",VLOOKUP(K67,IRS!$I$4:$L$10,4))</f>
        <v/>
      </c>
      <c r="C67" s="93" t="str">
        <f t="shared" si="5"/>
        <v/>
      </c>
      <c r="D67" s="3">
        <v>51</v>
      </c>
      <c r="E67" s="131">
        <f t="shared" si="6"/>
        <v>81</v>
      </c>
      <c r="F67" s="308" t="str">
        <f t="shared" si="9"/>
        <v/>
      </c>
      <c r="G67" s="308"/>
      <c r="H67" s="309" t="str">
        <f t="shared" si="7"/>
        <v/>
      </c>
      <c r="I67" s="309"/>
      <c r="J67" s="309"/>
      <c r="K67" s="309" t="str">
        <f t="shared" si="10"/>
        <v/>
      </c>
      <c r="L67" s="309"/>
      <c r="M67" s="309"/>
      <c r="N67" s="310" t="str">
        <f t="shared" si="11"/>
        <v/>
      </c>
      <c r="O67" s="310"/>
      <c r="P67" s="310"/>
      <c r="Q67" s="311" t="str">
        <f t="shared" si="12"/>
        <v/>
      </c>
      <c r="R67" s="311"/>
      <c r="S67" s="311"/>
      <c r="T67" s="377" t="str">
        <f t="shared" si="13"/>
        <v/>
      </c>
      <c r="U67" s="377"/>
      <c r="V67" s="377"/>
      <c r="W67" s="313" t="str">
        <f t="shared" si="8"/>
        <v/>
      </c>
      <c r="X67" s="313"/>
      <c r="Y67" s="313"/>
      <c r="Z67" s="41"/>
      <c r="AA67" s="1"/>
      <c r="AB67" s="1"/>
      <c r="AC67" s="1"/>
      <c r="AD67" s="1"/>
      <c r="AE67" s="1"/>
      <c r="AF67" s="1"/>
      <c r="AG67" s="1"/>
      <c r="AH67" s="1"/>
      <c r="AI67" s="1"/>
      <c r="AJ67" s="1"/>
      <c r="AK67" s="1"/>
      <c r="AL67" s="1"/>
      <c r="AM67" s="1"/>
      <c r="AN67" s="1"/>
      <c r="AO67" s="1"/>
      <c r="AP67" s="1"/>
      <c r="AQ67" s="1"/>
      <c r="AR67" s="1"/>
    </row>
    <row r="68" spans="1:44" x14ac:dyDescent="0.3">
      <c r="A68" s="91" t="e">
        <f>VLOOKUP(B68,IRS!$L$4:$M$10,2,FALSE)</f>
        <v>#N/A</v>
      </c>
      <c r="B68" s="92" t="str">
        <f>IF(K68="","",VLOOKUP(K68,IRS!$I$4:$L$10,4))</f>
        <v/>
      </c>
      <c r="C68" s="93" t="str">
        <f t="shared" si="5"/>
        <v/>
      </c>
      <c r="D68" s="3">
        <v>52</v>
      </c>
      <c r="E68" s="131">
        <f t="shared" si="6"/>
        <v>82</v>
      </c>
      <c r="F68" s="303" t="str">
        <f t="shared" si="9"/>
        <v/>
      </c>
      <c r="G68" s="303"/>
      <c r="H68" s="304" t="str">
        <f t="shared" si="7"/>
        <v/>
      </c>
      <c r="I68" s="304"/>
      <c r="J68" s="304"/>
      <c r="K68" s="304" t="str">
        <f t="shared" si="10"/>
        <v/>
      </c>
      <c r="L68" s="304"/>
      <c r="M68" s="304"/>
      <c r="N68" s="305" t="str">
        <f t="shared" si="11"/>
        <v/>
      </c>
      <c r="O68" s="305"/>
      <c r="P68" s="305"/>
      <c r="Q68" s="306" t="str">
        <f t="shared" si="12"/>
        <v/>
      </c>
      <c r="R68" s="306"/>
      <c r="S68" s="306"/>
      <c r="T68" s="376" t="str">
        <f t="shared" si="13"/>
        <v/>
      </c>
      <c r="U68" s="376"/>
      <c r="V68" s="376"/>
      <c r="W68" s="301" t="str">
        <f t="shared" si="8"/>
        <v/>
      </c>
      <c r="X68" s="301"/>
      <c r="Y68" s="301"/>
      <c r="Z68" s="41"/>
      <c r="AA68" s="1"/>
      <c r="AB68" s="1"/>
      <c r="AC68" s="1"/>
      <c r="AD68" s="1"/>
      <c r="AE68" s="1"/>
      <c r="AF68" s="1"/>
      <c r="AG68" s="1"/>
      <c r="AH68" s="1"/>
      <c r="AI68" s="1"/>
      <c r="AJ68" s="1"/>
      <c r="AK68" s="1"/>
      <c r="AL68" s="1"/>
      <c r="AM68" s="1"/>
      <c r="AN68" s="1"/>
      <c r="AO68" s="1"/>
      <c r="AP68" s="1"/>
      <c r="AQ68" s="1"/>
      <c r="AR68" s="1"/>
    </row>
    <row r="69" spans="1:44" x14ac:dyDescent="0.3">
      <c r="A69" s="91" t="e">
        <f>VLOOKUP(B69,IRS!$L$4:$M$10,2,FALSE)</f>
        <v>#N/A</v>
      </c>
      <c r="B69" s="92" t="str">
        <f>IF(K69="","",VLOOKUP(K69,IRS!$I$4:$L$10,4))</f>
        <v/>
      </c>
      <c r="C69" s="93" t="str">
        <f t="shared" si="5"/>
        <v/>
      </c>
      <c r="D69" s="3">
        <v>53</v>
      </c>
      <c r="E69" s="131">
        <f t="shared" si="6"/>
        <v>83</v>
      </c>
      <c r="F69" s="308" t="str">
        <f t="shared" si="9"/>
        <v/>
      </c>
      <c r="G69" s="308"/>
      <c r="H69" s="309" t="str">
        <f t="shared" si="7"/>
        <v/>
      </c>
      <c r="I69" s="309"/>
      <c r="J69" s="309"/>
      <c r="K69" s="309" t="str">
        <f t="shared" si="10"/>
        <v/>
      </c>
      <c r="L69" s="309"/>
      <c r="M69" s="309"/>
      <c r="N69" s="310" t="str">
        <f t="shared" si="11"/>
        <v/>
      </c>
      <c r="O69" s="310"/>
      <c r="P69" s="310"/>
      <c r="Q69" s="311" t="str">
        <f t="shared" si="12"/>
        <v/>
      </c>
      <c r="R69" s="311"/>
      <c r="S69" s="311"/>
      <c r="T69" s="377" t="str">
        <f t="shared" si="13"/>
        <v/>
      </c>
      <c r="U69" s="377"/>
      <c r="V69" s="377"/>
      <c r="W69" s="313" t="str">
        <f t="shared" si="8"/>
        <v/>
      </c>
      <c r="X69" s="313"/>
      <c r="Y69" s="313"/>
      <c r="Z69" s="41"/>
      <c r="AA69" s="1"/>
      <c r="AB69" s="1"/>
      <c r="AC69" s="1"/>
      <c r="AD69" s="1"/>
      <c r="AE69" s="1"/>
      <c r="AF69" s="1"/>
      <c r="AG69" s="1"/>
      <c r="AH69" s="1"/>
      <c r="AI69" s="1"/>
      <c r="AJ69" s="1"/>
      <c r="AK69" s="1"/>
      <c r="AL69" s="1"/>
      <c r="AM69" s="1"/>
      <c r="AN69" s="1"/>
      <c r="AO69" s="1"/>
      <c r="AP69" s="1"/>
      <c r="AQ69" s="1"/>
      <c r="AR69" s="1"/>
    </row>
    <row r="70" spans="1:44" x14ac:dyDescent="0.3">
      <c r="A70" s="91" t="e">
        <f>VLOOKUP(B70,IRS!$L$4:$M$10,2,FALSE)</f>
        <v>#N/A</v>
      </c>
      <c r="B70" s="92" t="str">
        <f>IF(K70="","",VLOOKUP(K70,IRS!$I$4:$L$10,4))</f>
        <v/>
      </c>
      <c r="C70" s="93" t="str">
        <f t="shared" si="5"/>
        <v/>
      </c>
      <c r="D70" s="3">
        <v>54</v>
      </c>
      <c r="E70" s="131">
        <f t="shared" si="6"/>
        <v>84</v>
      </c>
      <c r="F70" s="303" t="str">
        <f t="shared" si="9"/>
        <v/>
      </c>
      <c r="G70" s="303"/>
      <c r="H70" s="304" t="str">
        <f t="shared" si="7"/>
        <v/>
      </c>
      <c r="I70" s="304"/>
      <c r="J70" s="304"/>
      <c r="K70" s="304" t="str">
        <f t="shared" si="10"/>
        <v/>
      </c>
      <c r="L70" s="304"/>
      <c r="M70" s="304"/>
      <c r="N70" s="305" t="str">
        <f t="shared" si="11"/>
        <v/>
      </c>
      <c r="O70" s="305"/>
      <c r="P70" s="305"/>
      <c r="Q70" s="306" t="str">
        <f t="shared" si="12"/>
        <v/>
      </c>
      <c r="R70" s="306"/>
      <c r="S70" s="306"/>
      <c r="T70" s="376" t="str">
        <f t="shared" si="13"/>
        <v/>
      </c>
      <c r="U70" s="376"/>
      <c r="V70" s="376"/>
      <c r="W70" s="301" t="str">
        <f t="shared" si="8"/>
        <v/>
      </c>
      <c r="X70" s="301"/>
      <c r="Y70" s="301"/>
      <c r="Z70" s="41"/>
      <c r="AA70" s="1"/>
      <c r="AB70" s="1"/>
      <c r="AC70" s="1"/>
      <c r="AD70" s="1"/>
      <c r="AE70" s="1"/>
      <c r="AF70" s="1"/>
      <c r="AG70" s="1"/>
      <c r="AH70" s="1"/>
      <c r="AI70" s="1"/>
      <c r="AJ70" s="1"/>
      <c r="AK70" s="1"/>
      <c r="AL70" s="1"/>
      <c r="AM70" s="1"/>
      <c r="AN70" s="1"/>
      <c r="AO70" s="1"/>
      <c r="AP70" s="1"/>
      <c r="AQ70" s="1"/>
      <c r="AR70" s="1"/>
    </row>
    <row r="71" spans="1:44" x14ac:dyDescent="0.3">
      <c r="A71" s="91" t="e">
        <f>VLOOKUP(B71,IRS!$L$4:$M$10,2,FALSE)</f>
        <v>#N/A</v>
      </c>
      <c r="B71" s="92" t="str">
        <f>IF(K71="","",VLOOKUP(K71,IRS!$I$4:$L$10,4))</f>
        <v/>
      </c>
      <c r="C71" s="93" t="str">
        <f t="shared" si="5"/>
        <v/>
      </c>
      <c r="D71" s="3">
        <v>55</v>
      </c>
      <c r="E71" s="131">
        <f t="shared" si="6"/>
        <v>85</v>
      </c>
      <c r="F71" s="308" t="str">
        <f t="shared" si="9"/>
        <v/>
      </c>
      <c r="G71" s="308"/>
      <c r="H71" s="309" t="str">
        <f t="shared" si="7"/>
        <v/>
      </c>
      <c r="I71" s="309"/>
      <c r="J71" s="309"/>
      <c r="K71" s="309" t="str">
        <f t="shared" si="10"/>
        <v/>
      </c>
      <c r="L71" s="309"/>
      <c r="M71" s="309"/>
      <c r="N71" s="310" t="str">
        <f t="shared" si="11"/>
        <v/>
      </c>
      <c r="O71" s="310"/>
      <c r="P71" s="310"/>
      <c r="Q71" s="311" t="str">
        <f t="shared" si="12"/>
        <v/>
      </c>
      <c r="R71" s="311"/>
      <c r="S71" s="311"/>
      <c r="T71" s="377" t="str">
        <f t="shared" si="13"/>
        <v/>
      </c>
      <c r="U71" s="377"/>
      <c r="V71" s="377"/>
      <c r="W71" s="313" t="str">
        <f t="shared" si="8"/>
        <v/>
      </c>
      <c r="X71" s="313"/>
      <c r="Y71" s="313"/>
      <c r="Z71" s="41"/>
      <c r="AA71" s="1"/>
      <c r="AB71" s="1"/>
      <c r="AC71" s="1"/>
      <c r="AD71" s="1"/>
      <c r="AE71" s="1"/>
      <c r="AF71" s="1"/>
      <c r="AG71" s="1"/>
      <c r="AH71" s="1"/>
      <c r="AI71" s="1"/>
      <c r="AJ71" s="1"/>
      <c r="AK71" s="1"/>
      <c r="AL71" s="1"/>
      <c r="AM71" s="1"/>
      <c r="AN71" s="1"/>
      <c r="AO71" s="1"/>
      <c r="AP71" s="1"/>
      <c r="AQ71" s="1"/>
      <c r="AR71" s="1"/>
    </row>
    <row r="72" spans="1:44" x14ac:dyDescent="0.3">
      <c r="A72" s="91" t="e">
        <f>VLOOKUP(B72,IRS!$L$4:$M$10,2,FALSE)</f>
        <v>#N/A</v>
      </c>
      <c r="B72" s="92" t="str">
        <f>IF(K72="","",VLOOKUP(K72,IRS!$I$4:$L$10,4))</f>
        <v/>
      </c>
      <c r="C72" s="93" t="str">
        <f t="shared" si="5"/>
        <v/>
      </c>
      <c r="D72" s="3">
        <v>56</v>
      </c>
      <c r="E72" s="131">
        <f t="shared" si="6"/>
        <v>86</v>
      </c>
      <c r="F72" s="303" t="str">
        <f t="shared" si="9"/>
        <v/>
      </c>
      <c r="G72" s="303"/>
      <c r="H72" s="304" t="str">
        <f t="shared" si="7"/>
        <v/>
      </c>
      <c r="I72" s="304"/>
      <c r="J72" s="304"/>
      <c r="K72" s="304" t="str">
        <f t="shared" si="10"/>
        <v/>
      </c>
      <c r="L72" s="304"/>
      <c r="M72" s="304"/>
      <c r="N72" s="305" t="str">
        <f t="shared" si="11"/>
        <v/>
      </c>
      <c r="O72" s="305"/>
      <c r="P72" s="305"/>
      <c r="Q72" s="306" t="str">
        <f t="shared" si="12"/>
        <v/>
      </c>
      <c r="R72" s="306"/>
      <c r="S72" s="306"/>
      <c r="T72" s="376" t="str">
        <f t="shared" si="13"/>
        <v/>
      </c>
      <c r="U72" s="376"/>
      <c r="V72" s="376"/>
      <c r="W72" s="301" t="str">
        <f t="shared" si="8"/>
        <v/>
      </c>
      <c r="X72" s="301"/>
      <c r="Y72" s="301"/>
      <c r="Z72" s="41"/>
      <c r="AA72" s="1"/>
      <c r="AB72" s="1"/>
      <c r="AC72" s="1"/>
      <c r="AD72" s="1"/>
      <c r="AE72" s="1"/>
      <c r="AF72" s="1"/>
      <c r="AG72" s="1"/>
      <c r="AH72" s="1"/>
      <c r="AI72" s="1"/>
      <c r="AJ72" s="1"/>
      <c r="AK72" s="1"/>
      <c r="AL72" s="1"/>
      <c r="AM72" s="1"/>
      <c r="AN72" s="1"/>
      <c r="AO72" s="1"/>
      <c r="AP72" s="1"/>
      <c r="AQ72" s="1"/>
      <c r="AR72" s="1"/>
    </row>
    <row r="73" spans="1:44" x14ac:dyDescent="0.3">
      <c r="A73" s="91" t="e">
        <f>VLOOKUP(B73,IRS!$L$4:$M$10,2,FALSE)</f>
        <v>#N/A</v>
      </c>
      <c r="B73" s="92" t="str">
        <f>IF(K73="","",VLOOKUP(K73,IRS!$I$4:$L$10,4))</f>
        <v/>
      </c>
      <c r="C73" s="93" t="str">
        <f t="shared" si="5"/>
        <v/>
      </c>
      <c r="D73" s="3">
        <v>57</v>
      </c>
      <c r="E73" s="131">
        <f t="shared" si="6"/>
        <v>87</v>
      </c>
      <c r="F73" s="308" t="str">
        <f t="shared" si="9"/>
        <v/>
      </c>
      <c r="G73" s="308"/>
      <c r="H73" s="309" t="str">
        <f t="shared" si="7"/>
        <v/>
      </c>
      <c r="I73" s="309"/>
      <c r="J73" s="309"/>
      <c r="K73" s="309" t="str">
        <f t="shared" si="10"/>
        <v/>
      </c>
      <c r="L73" s="309"/>
      <c r="M73" s="309"/>
      <c r="N73" s="310" t="str">
        <f t="shared" si="11"/>
        <v/>
      </c>
      <c r="O73" s="310"/>
      <c r="P73" s="310"/>
      <c r="Q73" s="311" t="str">
        <f t="shared" si="12"/>
        <v/>
      </c>
      <c r="R73" s="311"/>
      <c r="S73" s="311"/>
      <c r="T73" s="377" t="str">
        <f t="shared" si="13"/>
        <v/>
      </c>
      <c r="U73" s="377"/>
      <c r="V73" s="377"/>
      <c r="W73" s="313" t="str">
        <f t="shared" si="8"/>
        <v/>
      </c>
      <c r="X73" s="313"/>
      <c r="Y73" s="313"/>
      <c r="Z73" s="41"/>
      <c r="AA73" s="1"/>
      <c r="AB73" s="1"/>
      <c r="AC73" s="1"/>
      <c r="AD73" s="1"/>
      <c r="AE73" s="1"/>
      <c r="AF73" s="1"/>
      <c r="AG73" s="1"/>
      <c r="AH73" s="1"/>
      <c r="AI73" s="1"/>
      <c r="AJ73" s="1"/>
      <c r="AK73" s="1"/>
      <c r="AL73" s="1"/>
      <c r="AM73" s="1"/>
      <c r="AN73" s="1"/>
      <c r="AO73" s="1"/>
      <c r="AP73" s="1"/>
      <c r="AQ73" s="1"/>
      <c r="AR73" s="1"/>
    </row>
    <row r="74" spans="1:44" x14ac:dyDescent="0.3">
      <c r="A74" s="91" t="e">
        <f>VLOOKUP(B74,IRS!$L$4:$M$10,2,FALSE)</f>
        <v>#N/A</v>
      </c>
      <c r="B74" s="92" t="str">
        <f>IF(K74="","",VLOOKUP(K74,IRS!$I$4:$L$10,4))</f>
        <v/>
      </c>
      <c r="C74" s="93" t="str">
        <f t="shared" si="5"/>
        <v/>
      </c>
      <c r="D74" s="3">
        <v>58</v>
      </c>
      <c r="E74" s="131">
        <f t="shared" si="6"/>
        <v>88</v>
      </c>
      <c r="F74" s="303" t="str">
        <f t="shared" si="9"/>
        <v/>
      </c>
      <c r="G74" s="303"/>
      <c r="H74" s="304" t="str">
        <f t="shared" si="7"/>
        <v/>
      </c>
      <c r="I74" s="304"/>
      <c r="J74" s="304"/>
      <c r="K74" s="304" t="str">
        <f t="shared" si="10"/>
        <v/>
      </c>
      <c r="L74" s="304"/>
      <c r="M74" s="304"/>
      <c r="N74" s="305" t="str">
        <f t="shared" si="11"/>
        <v/>
      </c>
      <c r="O74" s="305"/>
      <c r="P74" s="305"/>
      <c r="Q74" s="306" t="str">
        <f t="shared" si="12"/>
        <v/>
      </c>
      <c r="R74" s="306"/>
      <c r="S74" s="306"/>
      <c r="T74" s="376" t="str">
        <f t="shared" si="13"/>
        <v/>
      </c>
      <c r="U74" s="376"/>
      <c r="V74" s="376"/>
      <c r="W74" s="301" t="str">
        <f t="shared" si="8"/>
        <v/>
      </c>
      <c r="X74" s="301"/>
      <c r="Y74" s="301"/>
      <c r="Z74" s="41"/>
      <c r="AA74" s="1"/>
      <c r="AB74" s="1"/>
      <c r="AC74" s="1"/>
      <c r="AD74" s="1"/>
      <c r="AE74" s="1"/>
      <c r="AF74" s="1"/>
      <c r="AG74" s="1"/>
      <c r="AH74" s="1"/>
      <c r="AI74" s="1"/>
      <c r="AJ74" s="1"/>
      <c r="AK74" s="1"/>
      <c r="AL74" s="1"/>
      <c r="AM74" s="1"/>
      <c r="AN74" s="1"/>
      <c r="AO74" s="1"/>
      <c r="AP74" s="1"/>
      <c r="AQ74" s="1"/>
      <c r="AR74" s="1"/>
    </row>
    <row r="75" spans="1:44" x14ac:dyDescent="0.3">
      <c r="A75" s="91" t="e">
        <f>VLOOKUP(B75,IRS!$L$4:$M$10,2,FALSE)</f>
        <v>#N/A</v>
      </c>
      <c r="B75" s="92" t="str">
        <f>IF(K75="","",VLOOKUP(K75,IRS!$I$4:$L$10,4))</f>
        <v/>
      </c>
      <c r="C75" s="93" t="str">
        <f t="shared" si="5"/>
        <v/>
      </c>
      <c r="D75" s="3">
        <v>59</v>
      </c>
      <c r="E75" s="131">
        <f t="shared" si="6"/>
        <v>89</v>
      </c>
      <c r="F75" s="308" t="str">
        <f t="shared" si="9"/>
        <v/>
      </c>
      <c r="G75" s="308"/>
      <c r="H75" s="309" t="str">
        <f t="shared" si="7"/>
        <v/>
      </c>
      <c r="I75" s="309"/>
      <c r="J75" s="309"/>
      <c r="K75" s="309" t="str">
        <f t="shared" si="10"/>
        <v/>
      </c>
      <c r="L75" s="309"/>
      <c r="M75" s="309"/>
      <c r="N75" s="310" t="str">
        <f t="shared" si="11"/>
        <v/>
      </c>
      <c r="O75" s="310"/>
      <c r="P75" s="310"/>
      <c r="Q75" s="311" t="str">
        <f t="shared" si="12"/>
        <v/>
      </c>
      <c r="R75" s="311"/>
      <c r="S75" s="311"/>
      <c r="T75" s="377" t="str">
        <f t="shared" si="13"/>
        <v/>
      </c>
      <c r="U75" s="377"/>
      <c r="V75" s="377"/>
      <c r="W75" s="313" t="str">
        <f t="shared" si="8"/>
        <v/>
      </c>
      <c r="X75" s="313"/>
      <c r="Y75" s="313"/>
      <c r="Z75" s="41"/>
      <c r="AA75" s="1"/>
      <c r="AB75" s="1"/>
      <c r="AC75" s="1"/>
      <c r="AD75" s="1"/>
      <c r="AE75" s="1"/>
      <c r="AF75" s="1"/>
      <c r="AG75" s="1"/>
      <c r="AH75" s="1"/>
      <c r="AI75" s="1"/>
      <c r="AJ75" s="1"/>
      <c r="AK75" s="1"/>
      <c r="AL75" s="1"/>
      <c r="AM75" s="1"/>
      <c r="AN75" s="1"/>
      <c r="AO75" s="1"/>
      <c r="AP75" s="1"/>
      <c r="AQ75" s="1"/>
      <c r="AR75" s="1"/>
    </row>
    <row r="76" spans="1:44" x14ac:dyDescent="0.3">
      <c r="A76" s="91" t="e">
        <f>VLOOKUP(B76,IRS!$L$4:$M$10,2,FALSE)</f>
        <v>#N/A</v>
      </c>
      <c r="B76" s="92" t="str">
        <f>IF(K76="","",VLOOKUP(K76,IRS!$I$4:$L$10,4))</f>
        <v/>
      </c>
      <c r="C76" s="93" t="str">
        <f t="shared" si="5"/>
        <v/>
      </c>
      <c r="D76" s="3">
        <v>60</v>
      </c>
      <c r="E76" s="131">
        <f t="shared" si="6"/>
        <v>90</v>
      </c>
      <c r="F76" s="303" t="str">
        <f t="shared" si="9"/>
        <v/>
      </c>
      <c r="G76" s="303"/>
      <c r="H76" s="304" t="str">
        <f t="shared" si="7"/>
        <v/>
      </c>
      <c r="I76" s="304"/>
      <c r="J76" s="304"/>
      <c r="K76" s="304" t="str">
        <f t="shared" si="10"/>
        <v/>
      </c>
      <c r="L76" s="304"/>
      <c r="M76" s="304"/>
      <c r="N76" s="305" t="str">
        <f t="shared" si="11"/>
        <v/>
      </c>
      <c r="O76" s="305"/>
      <c r="P76" s="305"/>
      <c r="Q76" s="306" t="str">
        <f t="shared" si="12"/>
        <v/>
      </c>
      <c r="R76" s="306"/>
      <c r="S76" s="306"/>
      <c r="T76" s="376" t="str">
        <f t="shared" si="13"/>
        <v/>
      </c>
      <c r="U76" s="376"/>
      <c r="V76" s="376"/>
      <c r="W76" s="301" t="str">
        <f t="shared" si="8"/>
        <v/>
      </c>
      <c r="X76" s="301"/>
      <c r="Y76" s="301"/>
      <c r="Z76" s="41"/>
      <c r="AA76" s="1"/>
      <c r="AB76" s="1"/>
      <c r="AC76" s="1"/>
      <c r="AD76" s="1"/>
      <c r="AE76" s="1"/>
      <c r="AF76" s="1"/>
      <c r="AG76" s="1"/>
      <c r="AH76" s="1"/>
      <c r="AI76" s="1"/>
      <c r="AJ76" s="1"/>
      <c r="AK76" s="1"/>
      <c r="AL76" s="1"/>
      <c r="AM76" s="1"/>
      <c r="AN76" s="1"/>
      <c r="AO76" s="1"/>
      <c r="AP76" s="1"/>
      <c r="AQ76" s="1"/>
      <c r="AR76" s="1"/>
    </row>
    <row r="77" spans="1:44" ht="15" thickBot="1" x14ac:dyDescent="0.35">
      <c r="A77" s="91" t="e">
        <f>VLOOKUP(B77,IRS!$L$4:$M$10,2,FALSE)</f>
        <v>#N/A</v>
      </c>
      <c r="B77" s="92" t="str">
        <f>IF(K77="","",VLOOKUP(K77,IRS!$I$4:$L$10,4))</f>
        <v/>
      </c>
      <c r="C77" s="93" t="str">
        <f t="shared" si="5"/>
        <v/>
      </c>
      <c r="E77" s="132">
        <f>E76+1</f>
        <v>91</v>
      </c>
      <c r="F77" s="302"/>
      <c r="G77" s="302"/>
      <c r="H77" s="177"/>
      <c r="I77" s="177"/>
      <c r="J77" s="177"/>
      <c r="K77" s="177"/>
      <c r="L77" s="177"/>
      <c r="M77" s="177"/>
      <c r="N77" s="177"/>
      <c r="O77" s="177"/>
      <c r="P77" s="177"/>
      <c r="Q77" s="177"/>
      <c r="R77" s="177"/>
      <c r="S77" s="177"/>
      <c r="T77" s="177"/>
      <c r="U77" s="177"/>
      <c r="V77" s="177"/>
      <c r="W77" s="177"/>
      <c r="X77" s="177"/>
      <c r="Y77" s="177"/>
      <c r="Z77" s="39"/>
      <c r="AA77" s="1"/>
      <c r="AB77" s="1"/>
      <c r="AC77" s="1"/>
      <c r="AD77" s="1"/>
      <c r="AE77" s="1"/>
      <c r="AF77" s="1"/>
      <c r="AG77" s="1"/>
      <c r="AH77" s="1"/>
      <c r="AI77" s="1"/>
      <c r="AJ77" s="1"/>
      <c r="AK77" s="1"/>
      <c r="AL77" s="1"/>
      <c r="AM77" s="1"/>
      <c r="AN77" s="1"/>
      <c r="AO77" s="1"/>
    </row>
    <row r="78" spans="1:44" ht="15" thickTop="1" x14ac:dyDescent="0.3">
      <c r="F78" s="293"/>
      <c r="G78" s="293"/>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4" x14ac:dyDescent="0.3">
      <c r="F79" s="293"/>
      <c r="G79" s="293"/>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4" x14ac:dyDescent="0.3">
      <c r="F80" s="293"/>
      <c r="G80" s="293"/>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6:41" x14ac:dyDescent="0.3">
      <c r="F81" s="293"/>
      <c r="G81" s="293"/>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6:41" x14ac:dyDescent="0.3">
      <c r="F82" s="293"/>
      <c r="G82" s="293"/>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6:41" x14ac:dyDescent="0.3">
      <c r="F83" s="293"/>
      <c r="G83" s="293"/>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6:41" x14ac:dyDescent="0.3">
      <c r="F84" s="293"/>
      <c r="G84" s="293"/>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6:41" x14ac:dyDescent="0.3">
      <c r="F85" s="293"/>
      <c r="G85" s="293"/>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6:41" x14ac:dyDescent="0.3">
      <c r="F86" s="293"/>
      <c r="G86" s="293"/>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6:41" x14ac:dyDescent="0.3">
      <c r="F87" s="293"/>
      <c r="G87" s="293"/>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6:41" x14ac:dyDescent="0.3">
      <c r="F88" s="293"/>
      <c r="G88" s="293"/>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6:41" x14ac:dyDescent="0.3">
      <c r="F89" s="293"/>
      <c r="G89" s="293"/>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6:41" x14ac:dyDescent="0.3">
      <c r="F90" s="293"/>
      <c r="G90" s="293"/>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6:41" x14ac:dyDescent="0.3">
      <c r="F91" s="293"/>
      <c r="G91" s="293"/>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6:41" x14ac:dyDescent="0.3">
      <c r="F92" s="293"/>
      <c r="G92" s="293"/>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6:41" x14ac:dyDescent="0.3">
      <c r="F93" s="293"/>
      <c r="G93" s="293"/>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6:41" x14ac:dyDescent="0.3">
      <c r="F94" s="293"/>
      <c r="G94" s="293"/>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6:41" x14ac:dyDescent="0.3">
      <c r="F95" s="293"/>
      <c r="G95" s="293"/>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6:41" x14ac:dyDescent="0.3">
      <c r="F96" s="293"/>
      <c r="G96" s="293"/>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6:41" x14ac:dyDescent="0.3">
      <c r="F97" s="293"/>
      <c r="G97" s="293"/>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6:41" x14ac:dyDescent="0.3">
      <c r="F98" s="293"/>
      <c r="G98" s="293"/>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6:41" x14ac:dyDescent="0.3">
      <c r="F99" s="293"/>
      <c r="G99" s="293"/>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6:41" x14ac:dyDescent="0.3">
      <c r="F100" s="293"/>
      <c r="G100" s="293"/>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6:41" x14ac:dyDescent="0.3">
      <c r="F101" s="293"/>
      <c r="G101" s="293"/>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6:41" x14ac:dyDescent="0.3">
      <c r="F102" s="293"/>
      <c r="G102" s="293"/>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6:41" x14ac:dyDescent="0.3">
      <c r="F103" s="293"/>
      <c r="G103" s="293"/>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6:41" x14ac:dyDescent="0.3">
      <c r="F104" s="293"/>
      <c r="G104" s="293"/>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6:41" x14ac:dyDescent="0.3">
      <c r="F105" s="293"/>
      <c r="G105" s="293"/>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6:41" x14ac:dyDescent="0.3">
      <c r="F106" s="293"/>
      <c r="G106" s="293"/>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6:41" x14ac:dyDescent="0.3">
      <c r="F107" s="293"/>
      <c r="G107" s="293"/>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6:41" x14ac:dyDescent="0.3">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6:41" x14ac:dyDescent="0.3">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6:41" x14ac:dyDescent="0.3">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6:41" x14ac:dyDescent="0.3">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6:41" x14ac:dyDescent="0.3">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6:41" x14ac:dyDescent="0.3">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6:41" x14ac:dyDescent="0.3">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6:41" x14ac:dyDescent="0.3">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6:41" x14ac:dyDescent="0.3">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6:41" x14ac:dyDescent="0.3">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6:41" x14ac:dyDescent="0.3">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6:41" x14ac:dyDescent="0.3">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6:41" x14ac:dyDescent="0.3">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6:41" x14ac:dyDescent="0.3">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sheetData>
  <mergeCells count="522">
    <mergeCell ref="E2:AO2"/>
    <mergeCell ref="F5:J5"/>
    <mergeCell ref="K5:M5"/>
    <mergeCell ref="P5:T5"/>
    <mergeCell ref="U5:W5"/>
    <mergeCell ref="AC5:AE5"/>
    <mergeCell ref="AF5:AH5"/>
    <mergeCell ref="AI5:AK5"/>
    <mergeCell ref="AL5:AN5"/>
    <mergeCell ref="AF6:AH6"/>
    <mergeCell ref="AI6:AK6"/>
    <mergeCell ref="AL6:AN6"/>
    <mergeCell ref="AC7:AE7"/>
    <mergeCell ref="AF7:AH7"/>
    <mergeCell ref="AI7:AK7"/>
    <mergeCell ref="AL7:AN7"/>
    <mergeCell ref="F6:J6"/>
    <mergeCell ref="K6:M6"/>
    <mergeCell ref="P6:Q6"/>
    <mergeCell ref="R6:T6"/>
    <mergeCell ref="U6:W6"/>
    <mergeCell ref="AC6:AE6"/>
    <mergeCell ref="AI8:AK8"/>
    <mergeCell ref="AL8:AN8"/>
    <mergeCell ref="F9:J9"/>
    <mergeCell ref="K9:M9"/>
    <mergeCell ref="P9:T9"/>
    <mergeCell ref="U9:W9"/>
    <mergeCell ref="AC9:AE9"/>
    <mergeCell ref="AF9:AH9"/>
    <mergeCell ref="AI9:AK9"/>
    <mergeCell ref="AL9:AN9"/>
    <mergeCell ref="F8:J8"/>
    <mergeCell ref="K8:M8"/>
    <mergeCell ref="P8:T8"/>
    <mergeCell ref="U8:W8"/>
    <mergeCell ref="AC8:AE8"/>
    <mergeCell ref="AF8:AH8"/>
    <mergeCell ref="F11:J11"/>
    <mergeCell ref="K11:M11"/>
    <mergeCell ref="P11:T11"/>
    <mergeCell ref="U11:W11"/>
    <mergeCell ref="AC11:AE11"/>
    <mergeCell ref="AL11:AN11"/>
    <mergeCell ref="F10:J10"/>
    <mergeCell ref="K10:M10"/>
    <mergeCell ref="P10:T10"/>
    <mergeCell ref="U10:W10"/>
    <mergeCell ref="AC10:AE10"/>
    <mergeCell ref="AL10:AN10"/>
    <mergeCell ref="Y12:Z12"/>
    <mergeCell ref="AC12:AE12"/>
    <mergeCell ref="AF12:AH12"/>
    <mergeCell ref="E15:E16"/>
    <mergeCell ref="F15:G16"/>
    <mergeCell ref="H15:J16"/>
    <mergeCell ref="K15:M16"/>
    <mergeCell ref="N15:P16"/>
    <mergeCell ref="Q15:S16"/>
    <mergeCell ref="T15:V16"/>
    <mergeCell ref="K13:M13"/>
    <mergeCell ref="U13:W13"/>
    <mergeCell ref="W15:Y16"/>
    <mergeCell ref="AC15:AN15"/>
    <mergeCell ref="F17:G17"/>
    <mergeCell ref="H17:J17"/>
    <mergeCell ref="K17:M17"/>
    <mergeCell ref="N17:P17"/>
    <mergeCell ref="Q17:S17"/>
    <mergeCell ref="T17:V17"/>
    <mergeCell ref="W17:Y17"/>
    <mergeCell ref="W18:Y18"/>
    <mergeCell ref="F19:G19"/>
    <mergeCell ref="H19:J19"/>
    <mergeCell ref="K19:M19"/>
    <mergeCell ref="N19:P19"/>
    <mergeCell ref="Q19:S19"/>
    <mergeCell ref="T19:V19"/>
    <mergeCell ref="W19:Y19"/>
    <mergeCell ref="F18:G18"/>
    <mergeCell ref="H18:J18"/>
    <mergeCell ref="K18:M18"/>
    <mergeCell ref="N18:P18"/>
    <mergeCell ref="Q18:S18"/>
    <mergeCell ref="T18:V18"/>
    <mergeCell ref="W20:Y20"/>
    <mergeCell ref="F21:G21"/>
    <mergeCell ref="H21:J21"/>
    <mergeCell ref="K21:M21"/>
    <mergeCell ref="N21:P21"/>
    <mergeCell ref="Q21:S21"/>
    <mergeCell ref="T21:V21"/>
    <mergeCell ref="W21:Y21"/>
    <mergeCell ref="F20:G20"/>
    <mergeCell ref="H20:J20"/>
    <mergeCell ref="K20:M20"/>
    <mergeCell ref="N20:P20"/>
    <mergeCell ref="Q20:S20"/>
    <mergeCell ref="T20:V20"/>
    <mergeCell ref="W22:Y22"/>
    <mergeCell ref="F23:G23"/>
    <mergeCell ref="H23:J23"/>
    <mergeCell ref="K23:M23"/>
    <mergeCell ref="N23:P23"/>
    <mergeCell ref="Q23:S23"/>
    <mergeCell ref="T23:V23"/>
    <mergeCell ref="W23:Y23"/>
    <mergeCell ref="F22:G22"/>
    <mergeCell ref="H22:J22"/>
    <mergeCell ref="K22:M22"/>
    <mergeCell ref="N22:P22"/>
    <mergeCell ref="Q22:S22"/>
    <mergeCell ref="T22:V22"/>
    <mergeCell ref="W24:Y24"/>
    <mergeCell ref="F25:G25"/>
    <mergeCell ref="H25:J25"/>
    <mergeCell ref="K25:M25"/>
    <mergeCell ref="N25:P25"/>
    <mergeCell ref="Q25:S25"/>
    <mergeCell ref="T25:V25"/>
    <mergeCell ref="W25:Y25"/>
    <mergeCell ref="F24:G24"/>
    <mergeCell ref="H24:J24"/>
    <mergeCell ref="K24:M24"/>
    <mergeCell ref="N24:P24"/>
    <mergeCell ref="Q24:S24"/>
    <mergeCell ref="T24:V24"/>
    <mergeCell ref="W26:Y26"/>
    <mergeCell ref="F27:G27"/>
    <mergeCell ref="H27:J27"/>
    <mergeCell ref="K27:M27"/>
    <mergeCell ref="N27:P27"/>
    <mergeCell ref="Q27:S27"/>
    <mergeCell ref="T27:V27"/>
    <mergeCell ref="W27:Y27"/>
    <mergeCell ref="F26:G26"/>
    <mergeCell ref="H26:J26"/>
    <mergeCell ref="K26:M26"/>
    <mergeCell ref="N26:P26"/>
    <mergeCell ref="Q26:S26"/>
    <mergeCell ref="T26:V26"/>
    <mergeCell ref="W28:Y28"/>
    <mergeCell ref="F29:G29"/>
    <mergeCell ref="H29:J29"/>
    <mergeCell ref="K29:M29"/>
    <mergeCell ref="N29:P29"/>
    <mergeCell ref="Q29:S29"/>
    <mergeCell ref="T29:V29"/>
    <mergeCell ref="W29:Y29"/>
    <mergeCell ref="F28:G28"/>
    <mergeCell ref="H28:J28"/>
    <mergeCell ref="K28:M28"/>
    <mergeCell ref="N28:P28"/>
    <mergeCell ref="Q28:S28"/>
    <mergeCell ref="T28:V28"/>
    <mergeCell ref="W30:Y30"/>
    <mergeCell ref="AC30:AN30"/>
    <mergeCell ref="F31:G31"/>
    <mergeCell ref="H31:J31"/>
    <mergeCell ref="K31:M31"/>
    <mergeCell ref="N31:P31"/>
    <mergeCell ref="Q31:S31"/>
    <mergeCell ref="T31:V31"/>
    <mergeCell ref="W31:Y31"/>
    <mergeCell ref="F30:G30"/>
    <mergeCell ref="H30:J30"/>
    <mergeCell ref="K30:M30"/>
    <mergeCell ref="N30:P30"/>
    <mergeCell ref="Q30:S30"/>
    <mergeCell ref="T30:V30"/>
    <mergeCell ref="W32:Y32"/>
    <mergeCell ref="AC32:AN32"/>
    <mergeCell ref="F33:G33"/>
    <mergeCell ref="H33:J33"/>
    <mergeCell ref="K33:M33"/>
    <mergeCell ref="N33:P33"/>
    <mergeCell ref="Q33:S33"/>
    <mergeCell ref="T33:V33"/>
    <mergeCell ref="W33:Y33"/>
    <mergeCell ref="F32:G32"/>
    <mergeCell ref="H32:J32"/>
    <mergeCell ref="K32:M32"/>
    <mergeCell ref="N32:P32"/>
    <mergeCell ref="Q32:S32"/>
    <mergeCell ref="T32:V32"/>
    <mergeCell ref="W34:Y34"/>
    <mergeCell ref="F35:G35"/>
    <mergeCell ref="H35:J35"/>
    <mergeCell ref="K35:M35"/>
    <mergeCell ref="N35:P35"/>
    <mergeCell ref="Q35:S35"/>
    <mergeCell ref="T35:V35"/>
    <mergeCell ref="W35:Y35"/>
    <mergeCell ref="F34:G34"/>
    <mergeCell ref="H34:J34"/>
    <mergeCell ref="K34:M34"/>
    <mergeCell ref="N34:P34"/>
    <mergeCell ref="Q34:S34"/>
    <mergeCell ref="T34:V34"/>
    <mergeCell ref="W36:Y36"/>
    <mergeCell ref="F37:G37"/>
    <mergeCell ref="H37:J37"/>
    <mergeCell ref="K37:M37"/>
    <mergeCell ref="N37:P37"/>
    <mergeCell ref="Q37:S37"/>
    <mergeCell ref="T37:V37"/>
    <mergeCell ref="W37:Y37"/>
    <mergeCell ref="F36:G36"/>
    <mergeCell ref="H36:J36"/>
    <mergeCell ref="K36:M36"/>
    <mergeCell ref="N36:P36"/>
    <mergeCell ref="Q36:S36"/>
    <mergeCell ref="T36:V36"/>
    <mergeCell ref="W38:Y38"/>
    <mergeCell ref="F39:G39"/>
    <mergeCell ref="H39:J39"/>
    <mergeCell ref="K39:M39"/>
    <mergeCell ref="N39:P39"/>
    <mergeCell ref="Q39:S39"/>
    <mergeCell ref="T39:V39"/>
    <mergeCell ref="W39:Y39"/>
    <mergeCell ref="F38:G38"/>
    <mergeCell ref="H38:J38"/>
    <mergeCell ref="K38:M38"/>
    <mergeCell ref="N38:P38"/>
    <mergeCell ref="Q38:S38"/>
    <mergeCell ref="T38:V38"/>
    <mergeCell ref="W40:Y40"/>
    <mergeCell ref="F41:G41"/>
    <mergeCell ref="H41:J41"/>
    <mergeCell ref="K41:M41"/>
    <mergeCell ref="N41:P41"/>
    <mergeCell ref="Q41:S41"/>
    <mergeCell ref="T41:V41"/>
    <mergeCell ref="W41:Y41"/>
    <mergeCell ref="F40:G40"/>
    <mergeCell ref="H40:J40"/>
    <mergeCell ref="K40:M40"/>
    <mergeCell ref="N40:P40"/>
    <mergeCell ref="Q40:S40"/>
    <mergeCell ref="T40:V40"/>
    <mergeCell ref="W42:Y42"/>
    <mergeCell ref="F43:G43"/>
    <mergeCell ref="H43:J43"/>
    <mergeCell ref="K43:M43"/>
    <mergeCell ref="N43:P43"/>
    <mergeCell ref="Q43:S43"/>
    <mergeCell ref="T43:V43"/>
    <mergeCell ref="W43:Y43"/>
    <mergeCell ref="F42:G42"/>
    <mergeCell ref="H42:J42"/>
    <mergeCell ref="K42:M42"/>
    <mergeCell ref="N42:P42"/>
    <mergeCell ref="Q42:S42"/>
    <mergeCell ref="T42:V42"/>
    <mergeCell ref="W44:Y44"/>
    <mergeCell ref="F45:G45"/>
    <mergeCell ref="H45:J45"/>
    <mergeCell ref="K45:M45"/>
    <mergeCell ref="N45:P45"/>
    <mergeCell ref="Q45:S45"/>
    <mergeCell ref="T45:V45"/>
    <mergeCell ref="W45:Y45"/>
    <mergeCell ref="F44:G44"/>
    <mergeCell ref="H44:J44"/>
    <mergeCell ref="K44:M44"/>
    <mergeCell ref="N44:P44"/>
    <mergeCell ref="Q44:S44"/>
    <mergeCell ref="T44:V44"/>
    <mergeCell ref="W46:Y46"/>
    <mergeCell ref="F47:G47"/>
    <mergeCell ref="H47:J47"/>
    <mergeCell ref="K47:M47"/>
    <mergeCell ref="N47:P47"/>
    <mergeCell ref="Q47:S47"/>
    <mergeCell ref="T47:V47"/>
    <mergeCell ref="W47:Y47"/>
    <mergeCell ref="F46:G46"/>
    <mergeCell ref="H46:J46"/>
    <mergeCell ref="K46:M46"/>
    <mergeCell ref="N46:P46"/>
    <mergeCell ref="Q46:S46"/>
    <mergeCell ref="T46:V46"/>
    <mergeCell ref="W48:Y48"/>
    <mergeCell ref="AC48:AN48"/>
    <mergeCell ref="F49:G49"/>
    <mergeCell ref="H49:J49"/>
    <mergeCell ref="K49:M49"/>
    <mergeCell ref="N49:P49"/>
    <mergeCell ref="Q49:S49"/>
    <mergeCell ref="T49:V49"/>
    <mergeCell ref="W49:Y49"/>
    <mergeCell ref="F48:G48"/>
    <mergeCell ref="H48:J48"/>
    <mergeCell ref="K48:M48"/>
    <mergeCell ref="N48:P48"/>
    <mergeCell ref="Q48:S48"/>
    <mergeCell ref="T48:V48"/>
    <mergeCell ref="W50:Y50"/>
    <mergeCell ref="F51:G51"/>
    <mergeCell ref="H51:J51"/>
    <mergeCell ref="K51:M51"/>
    <mergeCell ref="N51:P51"/>
    <mergeCell ref="Q51:S51"/>
    <mergeCell ref="T51:V51"/>
    <mergeCell ref="W51:Y51"/>
    <mergeCell ref="F50:G50"/>
    <mergeCell ref="H50:J50"/>
    <mergeCell ref="K50:M50"/>
    <mergeCell ref="N50:P50"/>
    <mergeCell ref="Q50:S50"/>
    <mergeCell ref="T50:V50"/>
    <mergeCell ref="W52:Y52"/>
    <mergeCell ref="F53:G53"/>
    <mergeCell ref="H53:J53"/>
    <mergeCell ref="K53:M53"/>
    <mergeCell ref="N53:P53"/>
    <mergeCell ref="Q53:S53"/>
    <mergeCell ref="T53:V53"/>
    <mergeCell ref="W53:Y53"/>
    <mergeCell ref="F52:G52"/>
    <mergeCell ref="H52:J52"/>
    <mergeCell ref="K52:M52"/>
    <mergeCell ref="N52:P52"/>
    <mergeCell ref="Q52:S52"/>
    <mergeCell ref="T52:V52"/>
    <mergeCell ref="W54:Y54"/>
    <mergeCell ref="F55:G55"/>
    <mergeCell ref="H55:J55"/>
    <mergeCell ref="K55:M55"/>
    <mergeCell ref="N55:P55"/>
    <mergeCell ref="Q55:S55"/>
    <mergeCell ref="T55:V55"/>
    <mergeCell ref="W55:Y55"/>
    <mergeCell ref="F54:G54"/>
    <mergeCell ref="H54:J54"/>
    <mergeCell ref="K54:M54"/>
    <mergeCell ref="N54:P54"/>
    <mergeCell ref="Q54:S54"/>
    <mergeCell ref="T54:V54"/>
    <mergeCell ref="W56:Y56"/>
    <mergeCell ref="F57:G57"/>
    <mergeCell ref="H57:J57"/>
    <mergeCell ref="K57:M57"/>
    <mergeCell ref="N57:P57"/>
    <mergeCell ref="Q57:S57"/>
    <mergeCell ref="T57:V57"/>
    <mergeCell ref="W57:Y57"/>
    <mergeCell ref="F56:G56"/>
    <mergeCell ref="H56:J56"/>
    <mergeCell ref="K56:M56"/>
    <mergeCell ref="N56:P56"/>
    <mergeCell ref="Q56:S56"/>
    <mergeCell ref="T56:V56"/>
    <mergeCell ref="W58:Y58"/>
    <mergeCell ref="F59:G59"/>
    <mergeCell ref="H59:J59"/>
    <mergeCell ref="K59:M59"/>
    <mergeCell ref="N59:P59"/>
    <mergeCell ref="Q59:S59"/>
    <mergeCell ref="T59:V59"/>
    <mergeCell ref="W59:Y59"/>
    <mergeCell ref="F58:G58"/>
    <mergeCell ref="H58:J58"/>
    <mergeCell ref="K58:M58"/>
    <mergeCell ref="N58:P58"/>
    <mergeCell ref="Q58:S58"/>
    <mergeCell ref="T58:V58"/>
    <mergeCell ref="W60:Y60"/>
    <mergeCell ref="F61:G61"/>
    <mergeCell ref="H61:J61"/>
    <mergeCell ref="K61:M61"/>
    <mergeCell ref="N61:P61"/>
    <mergeCell ref="Q61:S61"/>
    <mergeCell ref="T61:V61"/>
    <mergeCell ref="W61:Y61"/>
    <mergeCell ref="F60:G60"/>
    <mergeCell ref="H60:J60"/>
    <mergeCell ref="K60:M60"/>
    <mergeCell ref="N60:P60"/>
    <mergeCell ref="Q60:S60"/>
    <mergeCell ref="T60:V60"/>
    <mergeCell ref="W62:Y62"/>
    <mergeCell ref="F63:G63"/>
    <mergeCell ref="H63:J63"/>
    <mergeCell ref="K63:M63"/>
    <mergeCell ref="N63:P63"/>
    <mergeCell ref="Q63:S63"/>
    <mergeCell ref="T63:V63"/>
    <mergeCell ref="W63:Y63"/>
    <mergeCell ref="F62:G62"/>
    <mergeCell ref="H62:J62"/>
    <mergeCell ref="K62:M62"/>
    <mergeCell ref="N62:P62"/>
    <mergeCell ref="Q62:S62"/>
    <mergeCell ref="T62:V62"/>
    <mergeCell ref="W64:Y64"/>
    <mergeCell ref="F65:G65"/>
    <mergeCell ref="H65:J65"/>
    <mergeCell ref="K65:M65"/>
    <mergeCell ref="N65:P65"/>
    <mergeCell ref="Q65:S65"/>
    <mergeCell ref="T65:V65"/>
    <mergeCell ref="W65:Y65"/>
    <mergeCell ref="F64:G64"/>
    <mergeCell ref="H64:J64"/>
    <mergeCell ref="K64:M64"/>
    <mergeCell ref="N64:P64"/>
    <mergeCell ref="Q64:S64"/>
    <mergeCell ref="T64:V64"/>
    <mergeCell ref="W66:Y66"/>
    <mergeCell ref="F67:G67"/>
    <mergeCell ref="H67:J67"/>
    <mergeCell ref="K67:M67"/>
    <mergeCell ref="N67:P67"/>
    <mergeCell ref="Q67:S67"/>
    <mergeCell ref="T67:V67"/>
    <mergeCell ref="W67:Y67"/>
    <mergeCell ref="F66:G66"/>
    <mergeCell ref="H66:J66"/>
    <mergeCell ref="K66:M66"/>
    <mergeCell ref="N66:P66"/>
    <mergeCell ref="Q66:S66"/>
    <mergeCell ref="T66:V66"/>
    <mergeCell ref="W68:Y68"/>
    <mergeCell ref="F69:G69"/>
    <mergeCell ref="H69:J69"/>
    <mergeCell ref="K69:M69"/>
    <mergeCell ref="N69:P69"/>
    <mergeCell ref="Q69:S69"/>
    <mergeCell ref="T69:V69"/>
    <mergeCell ref="W69:Y69"/>
    <mergeCell ref="F68:G68"/>
    <mergeCell ref="H68:J68"/>
    <mergeCell ref="K68:M68"/>
    <mergeCell ref="N68:P68"/>
    <mergeCell ref="Q68:S68"/>
    <mergeCell ref="T68:V68"/>
    <mergeCell ref="W70:Y70"/>
    <mergeCell ref="F71:G71"/>
    <mergeCell ref="H71:J71"/>
    <mergeCell ref="K71:M71"/>
    <mergeCell ref="N71:P71"/>
    <mergeCell ref="Q71:S71"/>
    <mergeCell ref="T71:V71"/>
    <mergeCell ref="W71:Y71"/>
    <mergeCell ref="F70:G70"/>
    <mergeCell ref="H70:J70"/>
    <mergeCell ref="K70:M70"/>
    <mergeCell ref="N70:P70"/>
    <mergeCell ref="Q70:S70"/>
    <mergeCell ref="T70:V70"/>
    <mergeCell ref="W72:Y72"/>
    <mergeCell ref="F73:G73"/>
    <mergeCell ref="H73:J73"/>
    <mergeCell ref="K73:M73"/>
    <mergeCell ref="N73:P73"/>
    <mergeCell ref="Q73:S73"/>
    <mergeCell ref="T73:V73"/>
    <mergeCell ref="W73:Y73"/>
    <mergeCell ref="F72:G72"/>
    <mergeCell ref="H72:J72"/>
    <mergeCell ref="K72:M72"/>
    <mergeCell ref="N72:P72"/>
    <mergeCell ref="Q72:S72"/>
    <mergeCell ref="T72:V72"/>
    <mergeCell ref="W74:Y74"/>
    <mergeCell ref="F75:G75"/>
    <mergeCell ref="H75:J75"/>
    <mergeCell ref="K75:M75"/>
    <mergeCell ref="N75:P75"/>
    <mergeCell ref="Q75:S75"/>
    <mergeCell ref="T75:V75"/>
    <mergeCell ref="W75:Y75"/>
    <mergeCell ref="F74:G74"/>
    <mergeCell ref="H74:J74"/>
    <mergeCell ref="K74:M74"/>
    <mergeCell ref="N74:P74"/>
    <mergeCell ref="Q74:S74"/>
    <mergeCell ref="T74:V74"/>
    <mergeCell ref="F82:G82"/>
    <mergeCell ref="F83:G83"/>
    <mergeCell ref="F84:G84"/>
    <mergeCell ref="F85:G85"/>
    <mergeCell ref="F86:G86"/>
    <mergeCell ref="F87:G87"/>
    <mergeCell ref="W76:Y76"/>
    <mergeCell ref="F77:G77"/>
    <mergeCell ref="F78:G78"/>
    <mergeCell ref="F79:G79"/>
    <mergeCell ref="F80:G80"/>
    <mergeCell ref="F81:G81"/>
    <mergeCell ref="F76:G76"/>
    <mergeCell ref="H76:J76"/>
    <mergeCell ref="K76:M76"/>
    <mergeCell ref="N76:P76"/>
    <mergeCell ref="Q76:S76"/>
    <mergeCell ref="T76:V76"/>
    <mergeCell ref="F106:G106"/>
    <mergeCell ref="F107:G107"/>
    <mergeCell ref="AF10:AH10"/>
    <mergeCell ref="AI10:AK10"/>
    <mergeCell ref="AF11:AH11"/>
    <mergeCell ref="AI11:AK11"/>
    <mergeCell ref="F100:G100"/>
    <mergeCell ref="F101:G101"/>
    <mergeCell ref="F102:G102"/>
    <mergeCell ref="F103:G103"/>
    <mergeCell ref="F104:G104"/>
    <mergeCell ref="F105:G105"/>
    <mergeCell ref="F94:G94"/>
    <mergeCell ref="F95:G95"/>
    <mergeCell ref="F96:G96"/>
    <mergeCell ref="F97:G97"/>
    <mergeCell ref="F98:G98"/>
    <mergeCell ref="F99:G99"/>
    <mergeCell ref="F88:G88"/>
    <mergeCell ref="F89:G89"/>
    <mergeCell ref="F90:G90"/>
    <mergeCell ref="F91:G91"/>
    <mergeCell ref="F92:G92"/>
    <mergeCell ref="F93:G93"/>
  </mergeCells>
  <conditionalFormatting sqref="A17:A77">
    <cfRule type="containsErrors" dxfId="0" priority="1">
      <formula>ISERROR(A17)</formula>
    </cfRule>
  </conditionalFormatting>
  <pageMargins left="0.7" right="0.7" top="0.75" bottom="0.75" header="0.3" footer="0.3"/>
  <pageSetup scale="52" fitToHeight="0" orientation="portrait" r:id="rId1"/>
  <ignoredErrors>
    <ignoredError sqref="A75:A77 A52:A74 A42:A51" evalError="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Q64"/>
  <sheetViews>
    <sheetView showGridLines="0" zoomScale="80" zoomScaleNormal="80" workbookViewId="0">
      <selection activeCell="J4" sqref="J4"/>
    </sheetView>
  </sheetViews>
  <sheetFormatPr defaultRowHeight="14.4" x14ac:dyDescent="0.3"/>
  <cols>
    <col min="1" max="3" width="4.6640625" customWidth="1"/>
    <col min="4" max="4" width="11.5546875" style="184" customWidth="1"/>
    <col min="5" max="5" width="11.33203125" style="184" customWidth="1"/>
    <col min="6" max="7" width="12.44140625" style="184" customWidth="1"/>
    <col min="8" max="8" width="12.44140625" customWidth="1"/>
    <col min="9" max="10" width="4.6640625" customWidth="1"/>
    <col min="11" max="12" width="14.33203125" customWidth="1"/>
    <col min="13" max="13" width="11.5546875" customWidth="1"/>
    <col min="14" max="14" width="10.109375" customWidth="1"/>
    <col min="15" max="15" width="8.88671875" customWidth="1"/>
    <col min="16" max="58" width="4.6640625" customWidth="1"/>
  </cols>
  <sheetData>
    <row r="1" spans="2:17" ht="15" thickTop="1" x14ac:dyDescent="0.3">
      <c r="B1" s="53"/>
      <c r="C1" s="54"/>
      <c r="D1" s="180"/>
      <c r="E1" s="180"/>
      <c r="F1" s="180"/>
      <c r="G1" s="180"/>
      <c r="H1" s="54"/>
      <c r="I1" s="54"/>
      <c r="J1" s="54"/>
      <c r="K1" s="54"/>
      <c r="L1" s="54"/>
      <c r="M1" s="54"/>
      <c r="N1" s="54"/>
      <c r="O1" s="54"/>
      <c r="P1" s="54"/>
      <c r="Q1" s="55"/>
    </row>
    <row r="2" spans="2:17" x14ac:dyDescent="0.3">
      <c r="B2" s="56"/>
      <c r="C2" s="63"/>
      <c r="D2" s="185" t="s">
        <v>105</v>
      </c>
      <c r="E2" s="185" t="s">
        <v>8</v>
      </c>
      <c r="F2" s="185" t="s">
        <v>124</v>
      </c>
      <c r="G2" s="181" t="s">
        <v>10</v>
      </c>
      <c r="H2" s="58"/>
      <c r="I2" s="63">
        <f>'Roth IRA'!RetirementAge-'Roth IRA'!CurrentAge</f>
        <v>35</v>
      </c>
      <c r="J2" s="65">
        <f>ROUND(I2/8,0)</f>
        <v>4</v>
      </c>
      <c r="K2" s="176" t="s">
        <v>7</v>
      </c>
      <c r="L2" s="176" t="s">
        <v>11</v>
      </c>
      <c r="M2" s="176" t="s">
        <v>124</v>
      </c>
      <c r="N2" s="63"/>
      <c r="O2" s="65" t="s">
        <v>10</v>
      </c>
      <c r="P2" s="57"/>
      <c r="Q2" s="59"/>
    </row>
    <row r="3" spans="2:17" x14ac:dyDescent="0.3">
      <c r="B3" s="56"/>
      <c r="C3" s="63">
        <f>'Roth IRA'!F17</f>
        <v>1</v>
      </c>
      <c r="D3" s="182">
        <f>IF(C3="",0,'Roth IRA'!N17)</f>
        <v>19500</v>
      </c>
      <c r="E3" s="182">
        <f>IF(D3="",0,'Roth IRA'!Q17)</f>
        <v>6000</v>
      </c>
      <c r="F3" s="182">
        <f>IF(E3="",0,'Roth IRA'!T17)</f>
        <v>1.0186340659856796E-10</v>
      </c>
      <c r="G3" s="182">
        <f>IF(C3="",0,F3+E3+D3)</f>
        <v>25500.000000000102</v>
      </c>
      <c r="H3" s="57"/>
      <c r="I3" s="63">
        <v>0</v>
      </c>
      <c r="J3" s="63">
        <f>C3</f>
        <v>1</v>
      </c>
      <c r="K3" s="67">
        <f>D3</f>
        <v>19500</v>
      </c>
      <c r="L3" s="67">
        <f>E3</f>
        <v>6000</v>
      </c>
      <c r="M3" s="66">
        <f>F3</f>
        <v>1.0186340659856796E-10</v>
      </c>
      <c r="N3" s="63">
        <f>J3</f>
        <v>1</v>
      </c>
      <c r="O3" s="63">
        <f>G3</f>
        <v>25500.000000000102</v>
      </c>
      <c r="P3" s="57"/>
      <c r="Q3" s="59"/>
    </row>
    <row r="4" spans="2:17" x14ac:dyDescent="0.3">
      <c r="B4" s="56"/>
      <c r="C4" s="63">
        <f>'Roth IRA'!F18</f>
        <v>2</v>
      </c>
      <c r="D4" s="182">
        <f>IF(C4="",0,SUM('Roth IRA'!N$17:N18))</f>
        <v>39585</v>
      </c>
      <c r="E4" s="182">
        <f>IF(C4="",0,SUM('Roth IRA'!$Q$17:Q18))</f>
        <v>12180</v>
      </c>
      <c r="F4" s="182">
        <f>IF(C4="",0,SUM('Roth IRA'!$T$17:T18))</f>
        <v>1785.0000000002183</v>
      </c>
      <c r="G4" s="182">
        <f t="shared" ref="G4:G62" si="0">IF(C4="",0,F4+E4+D4)</f>
        <v>53550.000000000218</v>
      </c>
      <c r="H4" s="57"/>
      <c r="I4" s="63">
        <v>2</v>
      </c>
      <c r="J4" s="63">
        <f>J3+$J$2-2</f>
        <v>3</v>
      </c>
      <c r="K4" s="67">
        <f>VLOOKUP($J4,CumList,2,FALSE)</f>
        <v>60272.55</v>
      </c>
      <c r="L4" s="67">
        <f t="shared" ref="L4:L12" si="1">VLOOKUP($J4,CumList,3,FALSE)</f>
        <v>18545.400000000001</v>
      </c>
      <c r="M4" s="67">
        <f t="shared" ref="M4:M12" si="2">VLOOKUP($J4,CumList,4,FALSE)</f>
        <v>5533.5000000003638</v>
      </c>
      <c r="N4" s="63">
        <f t="shared" ref="N4:N12" si="3">J4</f>
        <v>3</v>
      </c>
      <c r="O4" s="67">
        <f t="shared" ref="O4:O12" si="4">IF(J4="","",VLOOKUP($J4,CumList,5,FALSE))</f>
        <v>84351.450000000361</v>
      </c>
      <c r="P4" s="57"/>
      <c r="Q4" s="59"/>
    </row>
    <row r="5" spans="2:17" x14ac:dyDescent="0.3">
      <c r="B5" s="56"/>
      <c r="C5" s="63">
        <f>'Roth IRA'!F19</f>
        <v>3</v>
      </c>
      <c r="D5" s="182">
        <f>IF(C5="",0,SUM('Roth IRA'!N$17:N19))</f>
        <v>60272.55</v>
      </c>
      <c r="E5" s="182">
        <f>IF(C5="",0,SUM('Roth IRA'!$Q$17:Q19))</f>
        <v>18545.400000000001</v>
      </c>
      <c r="F5" s="182">
        <f>IF(C5="",0,SUM('Roth IRA'!$T$17:T19))</f>
        <v>5533.5000000003638</v>
      </c>
      <c r="G5" s="182">
        <f t="shared" si="0"/>
        <v>84351.450000000361</v>
      </c>
      <c r="H5" s="57"/>
      <c r="I5" s="63">
        <v>3</v>
      </c>
      <c r="J5" s="63">
        <f>ROUND(AVERAGE(J4,J6),0)</f>
        <v>7</v>
      </c>
      <c r="K5" s="67">
        <f t="shared" ref="K5:K12" si="5">VLOOKUP($J5,CumList,2,FALSE)</f>
        <v>149418.01252616549</v>
      </c>
      <c r="L5" s="67">
        <f t="shared" si="1"/>
        <v>45974.773084974004</v>
      </c>
      <c r="M5" s="67">
        <f t="shared" si="2"/>
        <v>44248.316435506058</v>
      </c>
      <c r="N5" s="63">
        <f t="shared" si="3"/>
        <v>7</v>
      </c>
      <c r="O5" s="67">
        <f t="shared" si="4"/>
        <v>239641.10204664554</v>
      </c>
      <c r="P5" s="57"/>
      <c r="Q5" s="59"/>
    </row>
    <row r="6" spans="2:17" x14ac:dyDescent="0.3">
      <c r="B6" s="56"/>
      <c r="C6" s="63">
        <f>'Roth IRA'!F20</f>
        <v>4</v>
      </c>
      <c r="D6" s="182">
        <f>IF(C6="",0,SUM('Roth IRA'!N$17:N20))</f>
        <v>81580.726500000004</v>
      </c>
      <c r="E6" s="182">
        <f>IF(C6="",0,SUM('Roth IRA'!$Q$17:Q20))</f>
        <v>25101.762000000002</v>
      </c>
      <c r="F6" s="182">
        <f>IF(C6="",0,SUM('Roth IRA'!$T$17:T20))</f>
        <v>11438.101500000499</v>
      </c>
      <c r="G6" s="182">
        <f t="shared" si="0"/>
        <v>118120.59000000051</v>
      </c>
      <c r="H6" s="57"/>
      <c r="I6" s="63">
        <v>4</v>
      </c>
      <c r="J6" s="63">
        <f t="shared" ref="J6:J10" si="6">J7-$J$2</f>
        <v>11</v>
      </c>
      <c r="K6" s="67">
        <f t="shared" si="5"/>
        <v>249752.0159708896</v>
      </c>
      <c r="L6" s="67">
        <f t="shared" si="1"/>
        <v>76846.774144889117</v>
      </c>
      <c r="M6" s="67">
        <f t="shared" si="2"/>
        <v>132795.2368885341</v>
      </c>
      <c r="N6" s="63">
        <f t="shared" si="3"/>
        <v>11</v>
      </c>
      <c r="O6" s="67">
        <f t="shared" si="4"/>
        <v>459394.02700431284</v>
      </c>
      <c r="P6" s="57"/>
      <c r="Q6" s="59"/>
    </row>
    <row r="7" spans="2:17" x14ac:dyDescent="0.3">
      <c r="B7" s="56"/>
      <c r="C7" s="63">
        <f>'Roth IRA'!F21</f>
        <v>5</v>
      </c>
      <c r="D7" s="182">
        <f>IF(C7="",0,SUM('Roth IRA'!N$17:N21))</f>
        <v>103528.14829500001</v>
      </c>
      <c r="E7" s="182">
        <f>IF(C7="",0,SUM('Roth IRA'!$Q$17:Q21))</f>
        <v>31854.814860000002</v>
      </c>
      <c r="F7" s="182">
        <f>IF(C7="",0,SUM('Roth IRA'!$T$17:T21))</f>
        <v>19706.54280000065</v>
      </c>
      <c r="G7" s="182">
        <f t="shared" si="0"/>
        <v>155089.50595500064</v>
      </c>
      <c r="H7" s="57"/>
      <c r="I7" s="63">
        <v>5</v>
      </c>
      <c r="J7" s="63">
        <f t="shared" si="6"/>
        <v>15</v>
      </c>
      <c r="K7" s="67">
        <f t="shared" si="5"/>
        <v>362678.82079049695</v>
      </c>
      <c r="L7" s="67">
        <f t="shared" si="1"/>
        <v>111593.48332015291</v>
      </c>
      <c r="M7" s="67">
        <f t="shared" si="2"/>
        <v>291406.07501239196</v>
      </c>
      <c r="N7" s="63">
        <f t="shared" si="3"/>
        <v>15</v>
      </c>
      <c r="O7" s="67">
        <f t="shared" si="4"/>
        <v>765678.37912304187</v>
      </c>
      <c r="P7" s="57"/>
      <c r="Q7" s="59"/>
    </row>
    <row r="8" spans="2:17" x14ac:dyDescent="0.3">
      <c r="B8" s="56"/>
      <c r="C8" s="63">
        <f>'Roth IRA'!F22</f>
        <v>6</v>
      </c>
      <c r="D8" s="182">
        <f>IF(C8="",0,SUM('Roth IRA'!N$17:N22))</f>
        <v>126133.99274385</v>
      </c>
      <c r="E8" s="182">
        <f>IF(C8="",0,SUM('Roth IRA'!$Q$17:Q22))</f>
        <v>38810.459305800003</v>
      </c>
      <c r="F8" s="182">
        <f>IF(C8="",0,SUM('Roth IRA'!$T$17:T22))</f>
        <v>30562.808216850812</v>
      </c>
      <c r="G8" s="182">
        <f t="shared" si="0"/>
        <v>195507.26026650082</v>
      </c>
      <c r="H8" s="57"/>
      <c r="I8" s="63">
        <v>6</v>
      </c>
      <c r="J8" s="63">
        <f t="shared" si="6"/>
        <v>19</v>
      </c>
      <c r="K8" s="67">
        <f t="shared" si="5"/>
        <v>489778.93450011546</v>
      </c>
      <c r="L8" s="67">
        <f t="shared" si="1"/>
        <v>150701.21061542013</v>
      </c>
      <c r="M8" s="67">
        <f t="shared" si="2"/>
        <v>547196.04963187384</v>
      </c>
      <c r="N8" s="63">
        <f t="shared" si="3"/>
        <v>19</v>
      </c>
      <c r="O8" s="67">
        <f t="shared" si="4"/>
        <v>1187676.1947474093</v>
      </c>
      <c r="P8" s="57"/>
      <c r="Q8" s="59"/>
    </row>
    <row r="9" spans="2:17" x14ac:dyDescent="0.3">
      <c r="B9" s="56"/>
      <c r="C9" s="63">
        <f>'Roth IRA'!F23</f>
        <v>7</v>
      </c>
      <c r="D9" s="182">
        <f>IF(C9="",0,SUM('Roth IRA'!N$17:N23))</f>
        <v>149418.01252616549</v>
      </c>
      <c r="E9" s="182">
        <f>IF(C9="",0,SUM('Roth IRA'!$Q$17:Q23))</f>
        <v>45974.773084974004</v>
      </c>
      <c r="F9" s="182">
        <f>IF(C9="",0,SUM('Roth IRA'!$T$17:T23))</f>
        <v>44248.316435506058</v>
      </c>
      <c r="G9" s="182">
        <f t="shared" si="0"/>
        <v>239641.10204664554</v>
      </c>
      <c r="H9" s="57"/>
      <c r="I9" s="63">
        <v>7</v>
      </c>
      <c r="J9" s="63">
        <f t="shared" si="6"/>
        <v>23</v>
      </c>
      <c r="K9" s="67">
        <f t="shared" si="5"/>
        <v>632831.23223229288</v>
      </c>
      <c r="L9" s="67">
        <f t="shared" si="1"/>
        <v>194717.30222532086</v>
      </c>
      <c r="M9" s="67">
        <f t="shared" si="2"/>
        <v>936377.85234731319</v>
      </c>
      <c r="N9" s="63">
        <f t="shared" si="3"/>
        <v>23</v>
      </c>
      <c r="O9" s="67">
        <f t="shared" si="4"/>
        <v>1763926.3868049269</v>
      </c>
      <c r="P9" s="57"/>
      <c r="Q9" s="59"/>
    </row>
    <row r="10" spans="2:17" x14ac:dyDescent="0.3">
      <c r="B10" s="56"/>
      <c r="C10" s="63">
        <f>'Roth IRA'!F24</f>
        <v>8</v>
      </c>
      <c r="D10" s="182">
        <f>IF(C10="",0,SUM('Roth IRA'!N$17:N24))</f>
        <v>173400.55290195046</v>
      </c>
      <c r="E10" s="182">
        <f>IF(C10="",0,SUM('Roth IRA'!$Q$17:Q24))</f>
        <v>53354.016277523224</v>
      </c>
      <c r="F10" s="182">
        <f>IF(C10="",0,SUM('Roth IRA'!$T$17:T24))</f>
        <v>61023.193578771388</v>
      </c>
      <c r="G10" s="182">
        <f t="shared" si="0"/>
        <v>287777.76275824511</v>
      </c>
      <c r="H10" s="57"/>
      <c r="I10" s="63">
        <v>8</v>
      </c>
      <c r="J10" s="63">
        <f t="shared" si="6"/>
        <v>27</v>
      </c>
      <c r="K10" s="67">
        <f t="shared" si="5"/>
        <v>793837.85362060159</v>
      </c>
      <c r="L10" s="67">
        <f t="shared" si="1"/>
        <v>244257.8011140312</v>
      </c>
      <c r="M10" s="67">
        <f t="shared" si="2"/>
        <v>1507173.2181332996</v>
      </c>
      <c r="N10" s="63">
        <f t="shared" si="3"/>
        <v>27</v>
      </c>
      <c r="O10" s="67">
        <f t="shared" si="4"/>
        <v>2545268.8728679325</v>
      </c>
      <c r="P10" s="57"/>
      <c r="Q10" s="59"/>
    </row>
    <row r="11" spans="2:17" x14ac:dyDescent="0.3">
      <c r="B11" s="56"/>
      <c r="C11" s="63">
        <f>'Roth IRA'!F25</f>
        <v>9</v>
      </c>
      <c r="D11" s="182">
        <f>IF(C11="",0,SUM('Roth IRA'!N$17:N25))</f>
        <v>198102.56948900898</v>
      </c>
      <c r="E11" s="182">
        <f>IF(C11="",0,SUM('Roth IRA'!$Q$17:Q25))</f>
        <v>60954.636765848918</v>
      </c>
      <c r="F11" s="182">
        <f>IF(C11="",0,SUM('Roth IRA'!$T$17:T25))</f>
        <v>81167.63697184874</v>
      </c>
      <c r="G11" s="182">
        <f t="shared" si="0"/>
        <v>340224.84322670661</v>
      </c>
      <c r="H11" s="57"/>
      <c r="I11" s="63">
        <v>9</v>
      </c>
      <c r="J11" s="63">
        <f>J12-$J$2</f>
        <v>31</v>
      </c>
      <c r="K11" s="67">
        <f t="shared" si="5"/>
        <v>975052.22446147737</v>
      </c>
      <c r="L11" s="67">
        <f t="shared" si="1"/>
        <v>300016.0690650699</v>
      </c>
      <c r="M11" s="67">
        <f t="shared" si="2"/>
        <v>2323639.9573043981</v>
      </c>
      <c r="N11" s="63">
        <f t="shared" si="3"/>
        <v>31</v>
      </c>
      <c r="O11" s="67">
        <f t="shared" si="4"/>
        <v>3598708.2508309451</v>
      </c>
      <c r="P11" s="57"/>
      <c r="Q11" s="59"/>
    </row>
    <row r="12" spans="2:17" x14ac:dyDescent="0.3">
      <c r="B12" s="56"/>
      <c r="C12" s="63">
        <f>'Roth IRA'!F26</f>
        <v>10</v>
      </c>
      <c r="D12" s="182">
        <f>IF(C12="",0,SUM('Roth IRA'!N$17:N26))</f>
        <v>223545.64657367923</v>
      </c>
      <c r="E12" s="182">
        <f>IF(C12="",0,SUM('Roth IRA'!$Q$17:Q26))</f>
        <v>68783.275868824392</v>
      </c>
      <c r="F12" s="182">
        <f>IF(C12="",0,SUM('Roth IRA'!$T$17:T26))</f>
        <v>104983.37599771838</v>
      </c>
      <c r="G12" s="182">
        <f t="shared" si="0"/>
        <v>397312.29844022199</v>
      </c>
      <c r="H12" s="57"/>
      <c r="I12" s="63">
        <v>10</v>
      </c>
      <c r="J12" s="63">
        <f>I2</f>
        <v>35</v>
      </c>
      <c r="K12" s="67">
        <f t="shared" si="5"/>
        <v>1179010.5953414903</v>
      </c>
      <c r="L12" s="67">
        <f t="shared" si="1"/>
        <v>362772.49087430455</v>
      </c>
      <c r="M12" s="67">
        <f t="shared" si="2"/>
        <v>3470700.295564726</v>
      </c>
      <c r="N12" s="63">
        <f t="shared" si="3"/>
        <v>35</v>
      </c>
      <c r="O12" s="67">
        <f t="shared" si="4"/>
        <v>5012483.381780521</v>
      </c>
      <c r="P12" s="57"/>
      <c r="Q12" s="59"/>
    </row>
    <row r="13" spans="2:17" x14ac:dyDescent="0.3">
      <c r="B13" s="56"/>
      <c r="C13" s="63">
        <f>'Roth IRA'!F27</f>
        <v>11</v>
      </c>
      <c r="D13" s="182">
        <f>IF(C13="",0,SUM('Roth IRA'!N$17:N27))</f>
        <v>249752.0159708896</v>
      </c>
      <c r="E13" s="182">
        <f>IF(C13="",0,SUM('Roth IRA'!$Q$17:Q27))</f>
        <v>76846.774144889117</v>
      </c>
      <c r="F13" s="182">
        <f>IF(C13="",0,SUM('Roth IRA'!$T$17:T27))</f>
        <v>132795.2368885341</v>
      </c>
      <c r="G13" s="182">
        <f t="shared" si="0"/>
        <v>459394.02700431284</v>
      </c>
      <c r="H13" s="57"/>
      <c r="I13" s="57"/>
      <c r="J13" s="57"/>
      <c r="K13" s="57"/>
      <c r="L13" s="57"/>
      <c r="M13" s="57"/>
      <c r="N13" s="57"/>
      <c r="O13" s="57"/>
      <c r="P13" s="57"/>
      <c r="Q13" s="59"/>
    </row>
    <row r="14" spans="2:17" x14ac:dyDescent="0.3">
      <c r="B14" s="56"/>
      <c r="C14" s="63">
        <f>'Roth IRA'!F28</f>
        <v>12</v>
      </c>
      <c r="D14" s="182">
        <f>IF(C14="",0,SUM('Roth IRA'!N$17:N28))</f>
        <v>276744.57645001629</v>
      </c>
      <c r="E14" s="182">
        <f>IF(C14="",0,SUM('Roth IRA'!$Q$17:Q28))</f>
        <v>85152.177369235782</v>
      </c>
      <c r="F14" s="182">
        <f>IF(C14="",0,SUM('Roth IRA'!$T$17:T28))</f>
        <v>164952.81877883623</v>
      </c>
      <c r="G14" s="182">
        <f t="shared" si="0"/>
        <v>526849.5725980883</v>
      </c>
      <c r="H14" s="57"/>
      <c r="I14" s="57"/>
      <c r="J14" s="57"/>
      <c r="K14" s="57"/>
      <c r="L14" s="57"/>
      <c r="M14" s="57"/>
      <c r="N14" s="57"/>
      <c r="O14" s="57"/>
      <c r="P14" s="57"/>
      <c r="Q14" s="59"/>
    </row>
    <row r="15" spans="2:17" x14ac:dyDescent="0.3">
      <c r="B15" s="56"/>
      <c r="C15" s="63">
        <f>'Roth IRA'!F29</f>
        <v>13</v>
      </c>
      <c r="D15" s="182">
        <f>IF(C15="",0,SUM('Roth IRA'!N$17:N29))</f>
        <v>304546.91374351678</v>
      </c>
      <c r="E15" s="182">
        <f>IF(C15="",0,SUM('Roth IRA'!$Q$17:Q29))</f>
        <v>93706.742690312851</v>
      </c>
      <c r="F15" s="182">
        <f>IF(C15="",0,SUM('Roth IRA'!$T$17:T29))</f>
        <v>201832.28886070271</v>
      </c>
      <c r="G15" s="182">
        <f t="shared" si="0"/>
        <v>600085.94529453234</v>
      </c>
      <c r="H15" s="57"/>
      <c r="I15" s="57"/>
      <c r="J15" s="63"/>
      <c r="K15" s="65" t="s">
        <v>7</v>
      </c>
      <c r="L15" s="67">
        <f>MAX(K3:K12)</f>
        <v>1179010.5953414903</v>
      </c>
      <c r="M15" s="250">
        <f>L15/$L$18</f>
        <v>0.23521486367954508</v>
      </c>
      <c r="N15" s="57"/>
      <c r="O15" s="57"/>
      <c r="P15" s="57"/>
      <c r="Q15" s="59"/>
    </row>
    <row r="16" spans="2:17" x14ac:dyDescent="0.3">
      <c r="B16" s="56"/>
      <c r="C16" s="63">
        <f>'Roth IRA'!F30</f>
        <v>14</v>
      </c>
      <c r="D16" s="182">
        <f>IF(C16="",0,SUM('Roth IRA'!N$17:N30))</f>
        <v>333183.32115582225</v>
      </c>
      <c r="E16" s="182">
        <f>IF(C16="",0,SUM('Roth IRA'!$Q$17:Q30))</f>
        <v>102517.94497102224</v>
      </c>
      <c r="F16" s="182">
        <f>IF(C16="",0,SUM('Roth IRA'!$T$17:T30))</f>
        <v>243838.30503132014</v>
      </c>
      <c r="G16" s="182">
        <f t="shared" si="0"/>
        <v>679539.57115816465</v>
      </c>
      <c r="H16" s="57"/>
      <c r="I16" s="57"/>
      <c r="J16" s="63"/>
      <c r="K16" s="65" t="s">
        <v>11</v>
      </c>
      <c r="L16" s="67">
        <f>MAX(L3:L12)</f>
        <v>362772.49087430455</v>
      </c>
      <c r="M16" s="250">
        <f>L16/$L$18</f>
        <v>7.2373804209090759E-2</v>
      </c>
      <c r="N16" s="57"/>
      <c r="O16" s="57"/>
      <c r="P16" s="57"/>
      <c r="Q16" s="59"/>
    </row>
    <row r="17" spans="2:17" x14ac:dyDescent="0.3">
      <c r="B17" s="56"/>
      <c r="C17" s="63">
        <f>'Roth IRA'!F31</f>
        <v>15</v>
      </c>
      <c r="D17" s="182">
        <f>IF(C17="",0,SUM('Roth IRA'!N$17:N31))</f>
        <v>362678.82079049695</v>
      </c>
      <c r="E17" s="182">
        <f>IF(C17="",0,SUM('Roth IRA'!$Q$17:Q31))</f>
        <v>111593.48332015291</v>
      </c>
      <c r="F17" s="182">
        <f>IF(C17="",0,SUM('Roth IRA'!$T$17:T31))</f>
        <v>291406.07501239196</v>
      </c>
      <c r="G17" s="182">
        <f t="shared" si="0"/>
        <v>765678.37912304187</v>
      </c>
      <c r="H17" s="57"/>
      <c r="I17" s="57"/>
      <c r="J17" s="63"/>
      <c r="K17" s="65" t="s">
        <v>124</v>
      </c>
      <c r="L17" s="67">
        <f>MAX(M3:M12)</f>
        <v>3470700.295564726</v>
      </c>
      <c r="M17" s="250">
        <f>L17/$L$18</f>
        <v>0.69241133211136419</v>
      </c>
      <c r="N17" s="57"/>
      <c r="O17" s="57"/>
      <c r="P17" s="57"/>
      <c r="Q17" s="59"/>
    </row>
    <row r="18" spans="2:17" x14ac:dyDescent="0.3">
      <c r="B18" s="56"/>
      <c r="C18" s="63">
        <f>'Roth IRA'!F32</f>
        <v>16</v>
      </c>
      <c r="D18" s="182">
        <f>IF(C18="",0,SUM('Roth IRA'!N$17:N32))</f>
        <v>393059.18541421182</v>
      </c>
      <c r="E18" s="182">
        <f>IF(C18="",0,SUM('Roth IRA'!$Q$17:Q32))</f>
        <v>120941.2878197575</v>
      </c>
      <c r="F18" s="182">
        <f>IF(C18="",0,SUM('Roth IRA'!$T$17:T32))</f>
        <v>345003.56155100506</v>
      </c>
      <c r="G18" s="182">
        <f t="shared" si="0"/>
        <v>859004.03478497441</v>
      </c>
      <c r="H18" s="57"/>
      <c r="I18" s="57"/>
      <c r="J18" s="57"/>
      <c r="K18" s="57"/>
      <c r="L18" s="186">
        <f>SUM(L15:L17)</f>
        <v>5012483.381780521</v>
      </c>
      <c r="M18" s="57"/>
      <c r="N18" s="57"/>
      <c r="O18" s="57"/>
      <c r="P18" s="57"/>
      <c r="Q18" s="59"/>
    </row>
    <row r="19" spans="2:17" x14ac:dyDescent="0.3">
      <c r="B19" s="56"/>
      <c r="C19" s="63">
        <f>'Roth IRA'!F33</f>
        <v>17</v>
      </c>
      <c r="D19" s="182">
        <f>IF(C19="",0,SUM('Roth IRA'!N$17:N33))</f>
        <v>424350.96097663819</v>
      </c>
      <c r="E19" s="182">
        <f>IF(C19="",0,SUM('Roth IRA'!$Q$17:Q33))</f>
        <v>130569.52645435023</v>
      </c>
      <c r="F19" s="182">
        <f>IF(C19="",0,SUM('Roth IRA'!$T$17:T33))</f>
        <v>405133.84398595354</v>
      </c>
      <c r="G19" s="182">
        <f t="shared" si="0"/>
        <v>960054.33141694195</v>
      </c>
      <c r="H19" s="57"/>
      <c r="I19" s="57"/>
      <c r="J19" s="57"/>
      <c r="K19" s="57"/>
      <c r="L19" s="57"/>
      <c r="M19" s="57"/>
      <c r="N19" s="57"/>
      <c r="O19" s="57"/>
      <c r="P19" s="57"/>
      <c r="Q19" s="59"/>
    </row>
    <row r="20" spans="2:17" x14ac:dyDescent="0.3">
      <c r="B20" s="56"/>
      <c r="C20" s="63">
        <f>'Roth IRA'!F34</f>
        <v>18</v>
      </c>
      <c r="D20" s="182">
        <f>IF(C20="",0,SUM('Roth IRA'!N$17:N34))</f>
        <v>456581.48980593734</v>
      </c>
      <c r="E20" s="182">
        <f>IF(C20="",0,SUM('Roth IRA'!$Q$17:Q34))</f>
        <v>140486.61224798072</v>
      </c>
      <c r="F20" s="182">
        <f>IF(C20="",0,SUM('Roth IRA'!$T$17:T34))</f>
        <v>472337.64718513977</v>
      </c>
      <c r="G20" s="182">
        <f t="shared" si="0"/>
        <v>1069405.7492390578</v>
      </c>
      <c r="H20" s="57"/>
      <c r="I20" s="57"/>
      <c r="J20" s="57"/>
      <c r="K20" s="57"/>
      <c r="L20" s="57"/>
      <c r="M20" s="57"/>
      <c r="N20" s="57"/>
      <c r="O20" s="57"/>
      <c r="P20" s="57"/>
      <c r="Q20" s="59"/>
    </row>
    <row r="21" spans="2:17" x14ac:dyDescent="0.3">
      <c r="B21" s="56"/>
      <c r="C21" s="63">
        <f>'Roth IRA'!F35</f>
        <v>19</v>
      </c>
      <c r="D21" s="182">
        <f>IF(C21="",0,SUM('Roth IRA'!N$17:N35))</f>
        <v>489778.93450011546</v>
      </c>
      <c r="E21" s="182">
        <f>IF(C21="",0,SUM('Roth IRA'!$Q$17:Q35))</f>
        <v>150701.21061542013</v>
      </c>
      <c r="F21" s="182">
        <f>IF(C21="",0,SUM('Roth IRA'!$T$17:T35))</f>
        <v>547196.04963187384</v>
      </c>
      <c r="G21" s="182">
        <f t="shared" si="0"/>
        <v>1187676.1947474093</v>
      </c>
      <c r="H21" s="57"/>
      <c r="I21" s="57"/>
      <c r="J21" s="57"/>
      <c r="K21" s="57"/>
      <c r="L21" s="57"/>
      <c r="M21" s="57"/>
      <c r="N21" s="57"/>
      <c r="O21" s="57"/>
      <c r="P21" s="57"/>
      <c r="Q21" s="59"/>
    </row>
    <row r="22" spans="2:17" x14ac:dyDescent="0.3">
      <c r="B22" s="56"/>
      <c r="C22" s="63">
        <f>'Roth IRA'!F36</f>
        <v>20</v>
      </c>
      <c r="D22" s="182">
        <f>IF(C22="",0,SUM('Roth IRA'!N$17:N36))</f>
        <v>523972.30253511888</v>
      </c>
      <c r="E22" s="182">
        <f>IF(C22="",0,SUM('Roth IRA'!$Q$17:Q36))</f>
        <v>161222.24693388274</v>
      </c>
      <c r="F22" s="182">
        <f>IF(C22="",0,SUM('Roth IRA'!$T$17:T36))</f>
        <v>630333.38326419285</v>
      </c>
      <c r="G22" s="182">
        <f t="shared" si="0"/>
        <v>1315527.9327331944</v>
      </c>
      <c r="H22" s="57"/>
      <c r="I22" s="57"/>
      <c r="J22" s="57"/>
      <c r="K22" s="57"/>
      <c r="L22" s="57"/>
      <c r="M22" s="57"/>
      <c r="N22" s="57"/>
      <c r="O22" s="57"/>
      <c r="P22" s="57"/>
      <c r="Q22" s="59"/>
    </row>
    <row r="23" spans="2:17" x14ac:dyDescent="0.3">
      <c r="B23" s="56"/>
      <c r="C23" s="63">
        <f>'Roth IRA'!F37</f>
        <v>21</v>
      </c>
      <c r="D23" s="182">
        <f>IF(C23="",0,SUM('Roth IRA'!N$17:N37))</f>
        <v>559191.47161117243</v>
      </c>
      <c r="E23" s="182">
        <f>IF(C23="",0,SUM('Roth IRA'!$Q$17:Q37))</f>
        <v>172058.91434189922</v>
      </c>
      <c r="F23" s="182">
        <f>IF(C23="",0,SUM('Roth IRA'!$T$17:T37))</f>
        <v>722420.33855551668</v>
      </c>
      <c r="G23" s="182">
        <f t="shared" si="0"/>
        <v>1453670.7245085882</v>
      </c>
      <c r="H23" s="57"/>
      <c r="I23" s="57"/>
      <c r="J23" s="57"/>
      <c r="K23" s="57"/>
      <c r="L23" s="57"/>
      <c r="M23" s="57"/>
      <c r="N23" s="57"/>
      <c r="O23" s="57"/>
      <c r="P23" s="57"/>
      <c r="Q23" s="59"/>
    </row>
    <row r="24" spans="2:17" x14ac:dyDescent="0.3">
      <c r="B24" s="56"/>
      <c r="C24" s="63">
        <f>'Roth IRA'!F38</f>
        <v>22</v>
      </c>
      <c r="D24" s="182">
        <f>IF(C24="",0,SUM('Roth IRA'!N$17:N38))</f>
        <v>595467.21575950761</v>
      </c>
      <c r="E24" s="182">
        <f>IF(C24="",0,SUM('Roth IRA'!$Q$17:Q38))</f>
        <v>183220.68177215618</v>
      </c>
      <c r="F24" s="182">
        <f>IF(C24="",0,SUM('Roth IRA'!$T$17:T38))</f>
        <v>824177.28927111812</v>
      </c>
      <c r="G24" s="182">
        <f t="shared" si="0"/>
        <v>1602865.1868027819</v>
      </c>
      <c r="H24" s="57"/>
      <c r="I24" s="57"/>
      <c r="J24" s="57"/>
      <c r="K24" s="57"/>
      <c r="L24" s="57"/>
      <c r="M24" s="57"/>
      <c r="N24" s="57"/>
      <c r="O24" s="57"/>
      <c r="P24" s="57"/>
      <c r="Q24" s="59"/>
    </row>
    <row r="25" spans="2:17" x14ac:dyDescent="0.3">
      <c r="B25" s="56"/>
      <c r="C25" s="63">
        <f>'Roth IRA'!F39</f>
        <v>23</v>
      </c>
      <c r="D25" s="182">
        <f>IF(C25="",0,SUM('Roth IRA'!N$17:N39))</f>
        <v>632831.23223229288</v>
      </c>
      <c r="E25" s="182">
        <f>IF(C25="",0,SUM('Roth IRA'!$Q$17:Q39))</f>
        <v>194717.30222532086</v>
      </c>
      <c r="F25" s="182">
        <f>IF(C25="",0,SUM('Roth IRA'!$T$17:T39))</f>
        <v>936377.85234731319</v>
      </c>
      <c r="G25" s="182">
        <f t="shared" si="0"/>
        <v>1763926.3868049269</v>
      </c>
      <c r="H25" s="57"/>
      <c r="I25" s="57"/>
      <c r="J25" s="57"/>
      <c r="K25" s="57"/>
      <c r="L25" s="57"/>
      <c r="M25" s="57"/>
      <c r="N25" s="57"/>
      <c r="O25" s="57"/>
      <c r="P25" s="57"/>
      <c r="Q25" s="59"/>
    </row>
    <row r="26" spans="2:17" x14ac:dyDescent="0.3">
      <c r="B26" s="56"/>
      <c r="C26" s="63">
        <f>'Roth IRA'!F40</f>
        <v>24</v>
      </c>
      <c r="D26" s="182">
        <f>IF(C26="",0,SUM('Roth IRA'!N$17:N40))</f>
        <v>671316.1691992617</v>
      </c>
      <c r="E26" s="182">
        <f>IF(C26="",0,SUM('Roth IRA'!$Q$17:Q40))</f>
        <v>206558.82129208048</v>
      </c>
      <c r="F26" s="182">
        <f>IF(C26="",0,SUM('Roth IRA'!$T$17:T40))</f>
        <v>1059852.6994236582</v>
      </c>
      <c r="G26" s="182">
        <f t="shared" si="0"/>
        <v>1937727.6899150005</v>
      </c>
      <c r="H26" s="57"/>
      <c r="I26" s="57"/>
      <c r="J26" s="57"/>
      <c r="K26" s="57"/>
      <c r="L26" s="57"/>
      <c r="M26" s="57"/>
      <c r="N26" s="57"/>
      <c r="O26" s="57"/>
      <c r="P26" s="57"/>
      <c r="Q26" s="59"/>
    </row>
    <row r="27" spans="2:17" x14ac:dyDescent="0.3">
      <c r="B27" s="56"/>
      <c r="C27" s="63">
        <f>'Roth IRA'!F41</f>
        <v>25</v>
      </c>
      <c r="D27" s="182">
        <f>IF(C27="",0,SUM('Roth IRA'!N$17:N41))</f>
        <v>710955.65427523956</v>
      </c>
      <c r="E27" s="182">
        <f>IF(C27="",0,SUM('Roth IRA'!$Q$17:Q41))</f>
        <v>218755.58593084288</v>
      </c>
      <c r="F27" s="182">
        <f>IF(C27="",0,SUM('Roth IRA'!$T$17:T41))</f>
        <v>1195493.6377177085</v>
      </c>
      <c r="G27" s="182">
        <f t="shared" si="0"/>
        <v>2125204.8779237908</v>
      </c>
      <c r="H27" s="57"/>
      <c r="I27" s="57"/>
      <c r="J27" s="57"/>
      <c r="K27" s="57"/>
      <c r="L27" s="57"/>
      <c r="M27" s="57"/>
      <c r="N27" s="57"/>
      <c r="O27" s="57"/>
      <c r="P27" s="57"/>
      <c r="Q27" s="59"/>
    </row>
    <row r="28" spans="2:17" x14ac:dyDescent="0.3">
      <c r="B28" s="56"/>
      <c r="C28" s="63">
        <f>'Roth IRA'!F42</f>
        <v>26</v>
      </c>
      <c r="D28" s="182">
        <f>IF(C28="",0,SUM('Roth IRA'!N$17:N42))</f>
        <v>751784.32390349673</v>
      </c>
      <c r="E28" s="182">
        <f>IF(C28="",0,SUM('Roth IRA'!$Q$17:Q42))</f>
        <v>231318.25350876816</v>
      </c>
      <c r="F28" s="182">
        <f>IF(C28="",0,SUM('Roth IRA'!$T$17:T42))</f>
        <v>1344257.9791723746</v>
      </c>
      <c r="G28" s="182">
        <f t="shared" si="0"/>
        <v>2327360.5565846395</v>
      </c>
      <c r="H28" s="57"/>
      <c r="I28" s="57"/>
      <c r="J28" s="57"/>
      <c r="K28" s="57"/>
      <c r="L28" s="57"/>
      <c r="M28" s="57"/>
      <c r="N28" s="57"/>
      <c r="O28" s="57"/>
      <c r="P28" s="57"/>
      <c r="Q28" s="59"/>
    </row>
    <row r="29" spans="2:17" x14ac:dyDescent="0.3">
      <c r="B29" s="56"/>
      <c r="C29" s="63">
        <f>'Roth IRA'!F43</f>
        <v>27</v>
      </c>
      <c r="D29" s="182">
        <f>IF(C29="",0,SUM('Roth IRA'!N$17:N43))</f>
        <v>793837.85362060159</v>
      </c>
      <c r="E29" s="182">
        <f>IF(C29="",0,SUM('Roth IRA'!$Q$17:Q43))</f>
        <v>244257.8011140312</v>
      </c>
      <c r="F29" s="182">
        <f>IF(C29="",0,SUM('Roth IRA'!$T$17:T43))</f>
        <v>1507173.2181332996</v>
      </c>
      <c r="G29" s="182">
        <f t="shared" si="0"/>
        <v>2545268.8728679325</v>
      </c>
      <c r="H29" s="57"/>
      <c r="I29" s="57"/>
      <c r="J29" s="57"/>
      <c r="K29" s="57"/>
      <c r="L29" s="57"/>
      <c r="M29" s="57"/>
      <c r="N29" s="57"/>
      <c r="O29" s="57"/>
      <c r="P29" s="57"/>
      <c r="Q29" s="59"/>
    </row>
    <row r="30" spans="2:17" x14ac:dyDescent="0.3">
      <c r="B30" s="56"/>
      <c r="C30" s="63">
        <f>'Roth IRA'!F44</f>
        <v>28</v>
      </c>
      <c r="D30" s="182">
        <f>IF(C30="",0,SUM('Roth IRA'!N$17:N44))</f>
        <v>837152.98922921962</v>
      </c>
      <c r="E30" s="182">
        <f>IF(C30="",0,SUM('Roth IRA'!$Q$17:Q44))</f>
        <v>257585.53514745214</v>
      </c>
      <c r="F30" s="182">
        <f>IF(C30="",0,SUM('Roth IRA'!$T$17:T44))</f>
        <v>1685342.0392340552</v>
      </c>
      <c r="G30" s="182">
        <f t="shared" si="0"/>
        <v>2780080.563610727</v>
      </c>
      <c r="H30" s="57"/>
      <c r="I30" s="57"/>
      <c r="J30" s="57"/>
      <c r="K30" s="57"/>
      <c r="L30" s="57"/>
      <c r="M30" s="57"/>
      <c r="N30" s="57"/>
      <c r="O30" s="57"/>
      <c r="P30" s="57"/>
      <c r="Q30" s="59"/>
    </row>
    <row r="31" spans="2:17" x14ac:dyDescent="0.3">
      <c r="B31" s="56"/>
      <c r="C31" s="63">
        <f>'Roth IRA'!F45</f>
        <v>29</v>
      </c>
      <c r="D31" s="182">
        <f>IF(C31="",0,SUM('Roth IRA'!N$17:N45))</f>
        <v>881767.57890609617</v>
      </c>
      <c r="E31" s="182">
        <f>IF(C31="",0,SUM('Roth IRA'!$Q$17:Q45))</f>
        <v>271313.10120187572</v>
      </c>
      <c r="F31" s="182">
        <f>IF(C31="",0,SUM('Roth IRA'!$T$17:T45))</f>
        <v>1879947.6786868069</v>
      </c>
      <c r="G31" s="182">
        <f t="shared" si="0"/>
        <v>3033028.3587947786</v>
      </c>
      <c r="H31" s="57"/>
      <c r="I31" s="57"/>
      <c r="J31" s="57"/>
      <c r="K31" s="57"/>
      <c r="L31" s="57"/>
      <c r="M31" s="57"/>
      <c r="N31" s="57"/>
      <c r="O31" s="57"/>
      <c r="P31" s="57"/>
      <c r="Q31" s="59"/>
    </row>
    <row r="32" spans="2:17" x14ac:dyDescent="0.3">
      <c r="B32" s="56"/>
      <c r="C32" s="63">
        <f>'Roth IRA'!F46</f>
        <v>30</v>
      </c>
      <c r="D32" s="182">
        <f>IF(C32="",0,SUM('Roth IRA'!N$17:N46))</f>
        <v>927720.60627327906</v>
      </c>
      <c r="E32" s="182">
        <f>IF(C32="",0,SUM('Roth IRA'!$Q$17:Q46))</f>
        <v>285452.49423793197</v>
      </c>
      <c r="F32" s="182">
        <f>IF(C32="",0,SUM('Roth IRA'!$T$17:T46))</f>
        <v>2092259.6638024421</v>
      </c>
      <c r="G32" s="182">
        <f t="shared" si="0"/>
        <v>3305432.7643136531</v>
      </c>
      <c r="H32" s="57"/>
      <c r="I32" s="57"/>
      <c r="J32" s="57"/>
      <c r="K32" s="57"/>
      <c r="L32" s="57"/>
      <c r="M32" s="57"/>
      <c r="N32" s="57"/>
      <c r="O32" s="57"/>
      <c r="P32" s="57"/>
      <c r="Q32" s="59"/>
    </row>
    <row r="33" spans="2:17" x14ac:dyDescent="0.3">
      <c r="B33" s="56"/>
      <c r="C33" s="63">
        <f>'Roth IRA'!F47</f>
        <v>31</v>
      </c>
      <c r="D33" s="182">
        <f>IF(C33="",0,SUM('Roth IRA'!N$17:N47))</f>
        <v>975052.22446147737</v>
      </c>
      <c r="E33" s="182">
        <f>IF(C33="",0,SUM('Roth IRA'!$Q$17:Q47))</f>
        <v>300016.0690650699</v>
      </c>
      <c r="F33" s="182">
        <f>IF(C33="",0,SUM('Roth IRA'!$T$17:T47))</f>
        <v>2323639.9573043981</v>
      </c>
      <c r="G33" s="182">
        <f t="shared" si="0"/>
        <v>3598708.2508309451</v>
      </c>
      <c r="H33" s="57"/>
      <c r="I33" s="57"/>
      <c r="J33" s="57"/>
      <c r="K33" s="57"/>
      <c r="L33" s="57"/>
      <c r="M33" s="57"/>
      <c r="N33" s="57"/>
      <c r="O33" s="57"/>
      <c r="P33" s="57"/>
      <c r="Q33" s="59"/>
    </row>
    <row r="34" spans="2:17" x14ac:dyDescent="0.3">
      <c r="B34" s="56"/>
      <c r="C34" s="63">
        <f>'Roth IRA'!F48</f>
        <v>32</v>
      </c>
      <c r="D34" s="182">
        <f>IF(C34="",0,SUM('Roth IRA'!N$17:N48))</f>
        <v>1023803.7911953217</v>
      </c>
      <c r="E34" s="182">
        <f>IF(C34="",0,SUM('Roth IRA'!$Q$17:Q48))</f>
        <v>315016.55113702198</v>
      </c>
      <c r="F34" s="182">
        <f>IF(C34="",0,SUM('Roth IRA'!$T$17:T48))</f>
        <v>2575549.5348625649</v>
      </c>
      <c r="G34" s="182">
        <f t="shared" si="0"/>
        <v>3914369.8771949084</v>
      </c>
      <c r="H34" s="57"/>
      <c r="I34" s="57"/>
      <c r="J34" s="57"/>
      <c r="K34" s="57"/>
      <c r="L34" s="57"/>
      <c r="M34" s="57"/>
      <c r="N34" s="57"/>
      <c r="O34" s="57"/>
      <c r="P34" s="57"/>
      <c r="Q34" s="59"/>
    </row>
    <row r="35" spans="2:17" x14ac:dyDescent="0.3">
      <c r="B35" s="56"/>
      <c r="C35" s="63">
        <f>'Roth IRA'!F49</f>
        <v>33</v>
      </c>
      <c r="D35" s="182">
        <f>IF(C35="",0,SUM('Roth IRA'!N$17:N49))</f>
        <v>1074017.9049311813</v>
      </c>
      <c r="E35" s="182">
        <f>IF(C35="",0,SUM('Roth IRA'!$Q$17:Q49))</f>
        <v>330467.0476711326</v>
      </c>
      <c r="F35" s="182">
        <f>IF(C35="",0,SUM('Roth IRA'!$T$17:T49))</f>
        <v>2849555.4262662092</v>
      </c>
      <c r="G35" s="182">
        <f t="shared" si="0"/>
        <v>4254040.3788685231</v>
      </c>
      <c r="H35" s="57"/>
      <c r="I35" s="57"/>
      <c r="J35" s="57"/>
      <c r="K35" s="57"/>
      <c r="L35" s="57"/>
      <c r="M35" s="57"/>
      <c r="N35" s="57"/>
      <c r="O35" s="57"/>
      <c r="P35" s="57"/>
      <c r="Q35" s="59"/>
    </row>
    <row r="36" spans="2:17" x14ac:dyDescent="0.3">
      <c r="B36" s="56"/>
      <c r="C36" s="63">
        <f>'Roth IRA'!F50</f>
        <v>34</v>
      </c>
      <c r="D36" s="182">
        <f>IF(C36="",0,SUM('Roth IRA'!N$17:N50))</f>
        <v>1125738.4420791168</v>
      </c>
      <c r="E36" s="182">
        <f>IF(C36="",0,SUM('Roth IRA'!$Q$17:Q50))</f>
        <v>346381.05910126655</v>
      </c>
      <c r="F36" s="182">
        <f>IF(C36="",0,SUM('Roth IRA'!$T$17:T50))</f>
        <v>3147338.252787007</v>
      </c>
      <c r="G36" s="182">
        <f t="shared" si="0"/>
        <v>4619457.7539673904</v>
      </c>
      <c r="H36" s="57"/>
      <c r="I36" s="57"/>
      <c r="J36" s="57"/>
      <c r="K36" s="57"/>
      <c r="L36" s="57"/>
      <c r="M36" s="57"/>
      <c r="N36" s="57"/>
      <c r="O36" s="57"/>
      <c r="P36" s="57"/>
      <c r="Q36" s="59"/>
    </row>
    <row r="37" spans="2:17" x14ac:dyDescent="0.3">
      <c r="B37" s="56"/>
      <c r="C37" s="63">
        <f>'Roth IRA'!F51</f>
        <v>35</v>
      </c>
      <c r="D37" s="182">
        <f>IF(C37="",0,SUM('Roth IRA'!N$17:N51))</f>
        <v>1179010.5953414903</v>
      </c>
      <c r="E37" s="182">
        <f>IF(C37="",0,SUM('Roth IRA'!$Q$17:Q51))</f>
        <v>362772.49087430455</v>
      </c>
      <c r="F37" s="182">
        <f>IF(C37="",0,SUM('Roth IRA'!$T$17:T51))</f>
        <v>3470700.295564726</v>
      </c>
      <c r="G37" s="182">
        <f t="shared" si="0"/>
        <v>5012483.381780521</v>
      </c>
      <c r="H37" s="57"/>
      <c r="I37" s="57"/>
      <c r="J37" s="57"/>
      <c r="K37" s="57"/>
      <c r="L37" s="57"/>
      <c r="M37" s="57"/>
      <c r="N37" s="57"/>
      <c r="O37" s="57"/>
      <c r="P37" s="57"/>
      <c r="Q37" s="59"/>
    </row>
    <row r="38" spans="2:17" x14ac:dyDescent="0.3">
      <c r="B38" s="56"/>
      <c r="C38" s="63" t="str">
        <f>'Roth IRA'!F52</f>
        <v/>
      </c>
      <c r="D38" s="182">
        <f>IF(C38="",0,SUM('Roth IRA'!N$17:N52))</f>
        <v>0</v>
      </c>
      <c r="E38" s="182">
        <f>IF(C38="",0,SUM('Roth IRA'!$Q$17:Q52))</f>
        <v>0</v>
      </c>
      <c r="F38" s="182">
        <f>IF(C38="",0,SUM('Roth IRA'!$T$17:T52))</f>
        <v>0</v>
      </c>
      <c r="G38" s="182">
        <f t="shared" si="0"/>
        <v>0</v>
      </c>
      <c r="H38" s="57"/>
      <c r="I38" s="57"/>
      <c r="J38" s="57"/>
      <c r="K38" s="57"/>
      <c r="L38" s="57"/>
      <c r="M38" s="57"/>
      <c r="N38" s="57"/>
      <c r="O38" s="57"/>
      <c r="P38" s="57"/>
      <c r="Q38" s="59"/>
    </row>
    <row r="39" spans="2:17" x14ac:dyDescent="0.3">
      <c r="B39" s="56"/>
      <c r="C39" s="63" t="str">
        <f>'Roth IRA'!F53</f>
        <v/>
      </c>
      <c r="D39" s="182">
        <f>IF(C39="",0,SUM('Roth IRA'!N$17:N53))</f>
        <v>0</v>
      </c>
      <c r="E39" s="182">
        <f>IF(C39="",0,SUM('Roth IRA'!$Q$17:Q53))</f>
        <v>0</v>
      </c>
      <c r="F39" s="182">
        <f>IF(C39="",0,SUM('Roth IRA'!$T$17:T53))</f>
        <v>0</v>
      </c>
      <c r="G39" s="182">
        <f t="shared" si="0"/>
        <v>0</v>
      </c>
      <c r="H39" s="57"/>
      <c r="I39" s="57"/>
      <c r="J39" s="57"/>
      <c r="K39" s="57"/>
      <c r="L39" s="57"/>
      <c r="M39" s="57"/>
      <c r="N39" s="57"/>
      <c r="O39" s="57"/>
      <c r="P39" s="57"/>
      <c r="Q39" s="59"/>
    </row>
    <row r="40" spans="2:17" x14ac:dyDescent="0.3">
      <c r="B40" s="56"/>
      <c r="C40" s="63" t="str">
        <f>'Roth IRA'!F54</f>
        <v/>
      </c>
      <c r="D40" s="182">
        <f>IF(C40="",0,SUM('Roth IRA'!N$17:N54))</f>
        <v>0</v>
      </c>
      <c r="E40" s="182">
        <f>IF(C40="",0,SUM('Roth IRA'!$Q$17:Q54))</f>
        <v>0</v>
      </c>
      <c r="F40" s="182">
        <f>IF(C40="",0,SUM('Roth IRA'!$T$17:T54))</f>
        <v>0</v>
      </c>
      <c r="G40" s="182">
        <f t="shared" si="0"/>
        <v>0</v>
      </c>
      <c r="H40" s="57"/>
      <c r="I40" s="57"/>
      <c r="J40" s="57"/>
      <c r="K40" s="57"/>
      <c r="L40" s="57"/>
      <c r="M40" s="57"/>
      <c r="N40" s="57"/>
      <c r="O40" s="57"/>
      <c r="P40" s="57"/>
      <c r="Q40" s="59"/>
    </row>
    <row r="41" spans="2:17" x14ac:dyDescent="0.3">
      <c r="B41" s="56"/>
      <c r="C41" s="63" t="str">
        <f>'Roth IRA'!F55</f>
        <v/>
      </c>
      <c r="D41" s="182">
        <f>IF(C41="",0,SUM('Roth IRA'!N$17:N55))</f>
        <v>0</v>
      </c>
      <c r="E41" s="182">
        <f>IF(C41="",0,SUM('Roth IRA'!$Q$17:Q55))</f>
        <v>0</v>
      </c>
      <c r="F41" s="182">
        <f>IF(C41="",0,SUM('Roth IRA'!$T$17:T55))</f>
        <v>0</v>
      </c>
      <c r="G41" s="182">
        <f t="shared" si="0"/>
        <v>0</v>
      </c>
      <c r="H41" s="57"/>
      <c r="I41" s="57"/>
      <c r="J41" s="57"/>
      <c r="K41" s="57"/>
      <c r="L41" s="57"/>
      <c r="M41" s="57"/>
      <c r="N41" s="57"/>
      <c r="O41" s="57"/>
      <c r="P41" s="57"/>
      <c r="Q41" s="59"/>
    </row>
    <row r="42" spans="2:17" x14ac:dyDescent="0.3">
      <c r="B42" s="56"/>
      <c r="C42" s="63" t="str">
        <f>'Roth IRA'!F56</f>
        <v/>
      </c>
      <c r="D42" s="182">
        <f>IF(C42="",0,SUM('Roth IRA'!N$17:N56))</f>
        <v>0</v>
      </c>
      <c r="E42" s="182">
        <f>IF(C42="",0,SUM('Roth IRA'!$Q$17:Q56))</f>
        <v>0</v>
      </c>
      <c r="F42" s="182">
        <f>IF(C42="",0,SUM('Roth IRA'!$T$17:T56))</f>
        <v>0</v>
      </c>
      <c r="G42" s="182">
        <f t="shared" si="0"/>
        <v>0</v>
      </c>
      <c r="H42" s="57"/>
      <c r="I42" s="57"/>
      <c r="J42" s="57"/>
      <c r="K42" s="57"/>
      <c r="L42" s="57"/>
      <c r="M42" s="57"/>
      <c r="N42" s="57"/>
      <c r="O42" s="57"/>
      <c r="P42" s="57"/>
      <c r="Q42" s="59"/>
    </row>
    <row r="43" spans="2:17" x14ac:dyDescent="0.3">
      <c r="B43" s="56"/>
      <c r="C43" s="63" t="str">
        <f>'Roth IRA'!F57</f>
        <v/>
      </c>
      <c r="D43" s="182">
        <f>IF(C43="",0,SUM('Roth IRA'!N$17:N57))</f>
        <v>0</v>
      </c>
      <c r="E43" s="182">
        <f>IF(C43="",0,SUM('Roth IRA'!$Q$17:Q57))</f>
        <v>0</v>
      </c>
      <c r="F43" s="182">
        <f>IF(C43="",0,SUM('Roth IRA'!$T$17:T57))</f>
        <v>0</v>
      </c>
      <c r="G43" s="182">
        <f t="shared" si="0"/>
        <v>0</v>
      </c>
      <c r="H43" s="57"/>
      <c r="I43" s="57"/>
      <c r="J43" s="57"/>
      <c r="K43" s="57"/>
      <c r="L43" s="57"/>
      <c r="M43" s="57"/>
      <c r="N43" s="57"/>
      <c r="O43" s="57"/>
      <c r="P43" s="57"/>
      <c r="Q43" s="59"/>
    </row>
    <row r="44" spans="2:17" x14ac:dyDescent="0.3">
      <c r="B44" s="56"/>
      <c r="C44" s="63" t="str">
        <f>'Roth IRA'!F58</f>
        <v/>
      </c>
      <c r="D44" s="182">
        <f>IF(C44="",0,SUM('Roth IRA'!N$17:N58))</f>
        <v>0</v>
      </c>
      <c r="E44" s="182">
        <f>IF(C44="",0,SUM('Roth IRA'!$Q$17:Q58))</f>
        <v>0</v>
      </c>
      <c r="F44" s="182">
        <f>IF(C44="",0,SUM('Roth IRA'!$T$17:T58))</f>
        <v>0</v>
      </c>
      <c r="G44" s="182">
        <f t="shared" si="0"/>
        <v>0</v>
      </c>
      <c r="H44" s="57"/>
      <c r="I44" s="57"/>
      <c r="J44" s="57"/>
      <c r="K44" s="57"/>
      <c r="L44" s="57"/>
      <c r="M44" s="57"/>
      <c r="N44" s="57"/>
      <c r="O44" s="57"/>
      <c r="P44" s="57"/>
      <c r="Q44" s="59"/>
    </row>
    <row r="45" spans="2:17" x14ac:dyDescent="0.3">
      <c r="B45" s="56"/>
      <c r="C45" s="63" t="str">
        <f>'Roth IRA'!F59</f>
        <v/>
      </c>
      <c r="D45" s="182">
        <f>IF(C45="",0,SUM('Roth IRA'!N$17:N59))</f>
        <v>0</v>
      </c>
      <c r="E45" s="182">
        <f>IF(C45="",0,SUM('Roth IRA'!$Q$17:Q59))</f>
        <v>0</v>
      </c>
      <c r="F45" s="182">
        <f>IF(C45="",0,SUM('Roth IRA'!$T$17:T59))</f>
        <v>0</v>
      </c>
      <c r="G45" s="182">
        <f t="shared" si="0"/>
        <v>0</v>
      </c>
      <c r="H45" s="57"/>
      <c r="I45" s="57"/>
      <c r="J45" s="57"/>
      <c r="K45" s="57"/>
      <c r="L45" s="57"/>
      <c r="M45" s="57"/>
      <c r="N45" s="57"/>
      <c r="O45" s="57"/>
      <c r="P45" s="57"/>
      <c r="Q45" s="59"/>
    </row>
    <row r="46" spans="2:17" x14ac:dyDescent="0.3">
      <c r="B46" s="56"/>
      <c r="C46" s="63" t="str">
        <f>'Roth IRA'!F60</f>
        <v/>
      </c>
      <c r="D46" s="182">
        <f>IF(C46="",0,SUM('Roth IRA'!N$17:N60))</f>
        <v>0</v>
      </c>
      <c r="E46" s="182">
        <f>IF(C46="",0,SUM('Roth IRA'!$Q$17:Q60))</f>
        <v>0</v>
      </c>
      <c r="F46" s="182">
        <f>IF(C46="",0,SUM('Roth IRA'!$T$17:T60))</f>
        <v>0</v>
      </c>
      <c r="G46" s="182">
        <f t="shared" si="0"/>
        <v>0</v>
      </c>
      <c r="H46" s="57"/>
      <c r="I46" s="57"/>
      <c r="J46" s="57"/>
      <c r="K46" s="57"/>
      <c r="L46" s="57"/>
      <c r="M46" s="57"/>
      <c r="N46" s="57"/>
      <c r="O46" s="57"/>
      <c r="P46" s="57"/>
      <c r="Q46" s="59"/>
    </row>
    <row r="47" spans="2:17" x14ac:dyDescent="0.3">
      <c r="B47" s="56"/>
      <c r="C47" s="63" t="str">
        <f>'Roth IRA'!F61</f>
        <v/>
      </c>
      <c r="D47" s="182">
        <f>IF(C47="",0,SUM('Roth IRA'!N$17:N61))</f>
        <v>0</v>
      </c>
      <c r="E47" s="182">
        <f>IF(C47="",0,SUM('Roth IRA'!$Q$17:Q61))</f>
        <v>0</v>
      </c>
      <c r="F47" s="182">
        <f>IF(C47="",0,SUM('Roth IRA'!$T$17:T61))</f>
        <v>0</v>
      </c>
      <c r="G47" s="182">
        <f t="shared" si="0"/>
        <v>0</v>
      </c>
      <c r="H47" s="57"/>
      <c r="I47" s="57"/>
      <c r="J47" s="57"/>
      <c r="K47" s="57"/>
      <c r="L47" s="57"/>
      <c r="M47" s="57"/>
      <c r="N47" s="57"/>
      <c r="O47" s="57"/>
      <c r="P47" s="57"/>
      <c r="Q47" s="59"/>
    </row>
    <row r="48" spans="2:17" x14ac:dyDescent="0.3">
      <c r="B48" s="56"/>
      <c r="C48" s="63" t="str">
        <f>'Roth IRA'!F62</f>
        <v/>
      </c>
      <c r="D48" s="182">
        <f>IF(C48="",0,SUM('Roth IRA'!N$17:N62))</f>
        <v>0</v>
      </c>
      <c r="E48" s="182">
        <f>IF(C48="",0,SUM('Roth IRA'!$Q$17:Q62))</f>
        <v>0</v>
      </c>
      <c r="F48" s="182">
        <f>IF(C48="",0,SUM('Roth IRA'!$T$17:T62))</f>
        <v>0</v>
      </c>
      <c r="G48" s="182">
        <f t="shared" si="0"/>
        <v>0</v>
      </c>
      <c r="H48" s="57"/>
      <c r="I48" s="57"/>
      <c r="J48" s="57"/>
      <c r="K48" s="57"/>
      <c r="L48" s="57"/>
      <c r="M48" s="57"/>
      <c r="N48" s="57"/>
      <c r="O48" s="57"/>
      <c r="P48" s="57"/>
      <c r="Q48" s="59"/>
    </row>
    <row r="49" spans="2:17" x14ac:dyDescent="0.3">
      <c r="B49" s="56"/>
      <c r="C49" s="63" t="str">
        <f>'Roth IRA'!F63</f>
        <v/>
      </c>
      <c r="D49" s="182">
        <f>IF(C49="",0,SUM('Roth IRA'!N$17:N63))</f>
        <v>0</v>
      </c>
      <c r="E49" s="182">
        <f>IF(C49="",0,SUM('Roth IRA'!$Q$17:Q63))</f>
        <v>0</v>
      </c>
      <c r="F49" s="182">
        <f>IF(C49="",0,SUM('Roth IRA'!$T$17:T63))</f>
        <v>0</v>
      </c>
      <c r="G49" s="182">
        <f t="shared" si="0"/>
        <v>0</v>
      </c>
      <c r="H49" s="57"/>
      <c r="I49" s="57"/>
      <c r="J49" s="57"/>
      <c r="K49" s="57"/>
      <c r="L49" s="57"/>
      <c r="M49" s="57"/>
      <c r="N49" s="57"/>
      <c r="O49" s="57"/>
      <c r="P49" s="57"/>
      <c r="Q49" s="59"/>
    </row>
    <row r="50" spans="2:17" x14ac:dyDescent="0.3">
      <c r="B50" s="56"/>
      <c r="C50" s="63" t="str">
        <f>'Roth IRA'!F64</f>
        <v/>
      </c>
      <c r="D50" s="182">
        <f>IF(C50="",0,SUM('Roth IRA'!N$17:N64))</f>
        <v>0</v>
      </c>
      <c r="E50" s="182">
        <f>IF(C50="",0,SUM('Roth IRA'!$Q$17:Q64))</f>
        <v>0</v>
      </c>
      <c r="F50" s="182">
        <f>IF(C50="",0,SUM('Roth IRA'!$T$17:T64))</f>
        <v>0</v>
      </c>
      <c r="G50" s="182">
        <f t="shared" si="0"/>
        <v>0</v>
      </c>
      <c r="H50" s="57"/>
      <c r="I50" s="57"/>
      <c r="J50" s="57"/>
      <c r="K50" s="57"/>
      <c r="L50" s="57"/>
      <c r="M50" s="57"/>
      <c r="N50" s="57"/>
      <c r="O50" s="57"/>
      <c r="P50" s="57"/>
      <c r="Q50" s="59"/>
    </row>
    <row r="51" spans="2:17" x14ac:dyDescent="0.3">
      <c r="B51" s="56"/>
      <c r="C51" s="63" t="str">
        <f>'Roth IRA'!F65</f>
        <v/>
      </c>
      <c r="D51" s="182">
        <f>IF(C51="",0,SUM('Roth IRA'!N$17:N65))</f>
        <v>0</v>
      </c>
      <c r="E51" s="182">
        <f>IF(C51="",0,SUM('Roth IRA'!$Q$17:Q65))</f>
        <v>0</v>
      </c>
      <c r="F51" s="182">
        <f>IF(C51="",0,SUM('Roth IRA'!$T$17:T65))</f>
        <v>0</v>
      </c>
      <c r="G51" s="182">
        <f t="shared" si="0"/>
        <v>0</v>
      </c>
      <c r="H51" s="57"/>
      <c r="I51" s="57"/>
      <c r="J51" s="57"/>
      <c r="K51" s="57"/>
      <c r="L51" s="57"/>
      <c r="M51" s="57"/>
      <c r="N51" s="57"/>
      <c r="O51" s="57"/>
      <c r="P51" s="57"/>
      <c r="Q51" s="59"/>
    </row>
    <row r="52" spans="2:17" x14ac:dyDescent="0.3">
      <c r="B52" s="56"/>
      <c r="C52" s="63" t="str">
        <f>'Roth IRA'!F66</f>
        <v/>
      </c>
      <c r="D52" s="182">
        <f>IF(C52="",0,SUM('Roth IRA'!N$17:N66))</f>
        <v>0</v>
      </c>
      <c r="E52" s="182">
        <f>IF(C52="",0,SUM('Roth IRA'!$Q$17:Q66))</f>
        <v>0</v>
      </c>
      <c r="F52" s="182">
        <f>IF(C52="",0,SUM('Roth IRA'!$T$17:T66))</f>
        <v>0</v>
      </c>
      <c r="G52" s="182">
        <f t="shared" si="0"/>
        <v>0</v>
      </c>
      <c r="H52" s="57"/>
      <c r="I52" s="57"/>
      <c r="J52" s="57"/>
      <c r="K52" s="57"/>
      <c r="L52" s="57"/>
      <c r="M52" s="57"/>
      <c r="N52" s="57"/>
      <c r="O52" s="57"/>
      <c r="P52" s="57"/>
      <c r="Q52" s="59"/>
    </row>
    <row r="53" spans="2:17" x14ac:dyDescent="0.3">
      <c r="B53" s="56"/>
      <c r="C53" s="63" t="str">
        <f>'Roth IRA'!F67</f>
        <v/>
      </c>
      <c r="D53" s="182">
        <f>IF(C53="",0,SUM('Roth IRA'!N$17:N67))</f>
        <v>0</v>
      </c>
      <c r="E53" s="182">
        <f>IF(C53="",0,SUM('Roth IRA'!$Q$17:Q67))</f>
        <v>0</v>
      </c>
      <c r="F53" s="182">
        <f>IF(C53="",0,SUM('Roth IRA'!$T$17:T67))</f>
        <v>0</v>
      </c>
      <c r="G53" s="182">
        <f t="shared" si="0"/>
        <v>0</v>
      </c>
      <c r="H53" s="57"/>
      <c r="I53" s="57"/>
      <c r="J53" s="57"/>
      <c r="K53" s="57"/>
      <c r="L53" s="57"/>
      <c r="M53" s="57"/>
      <c r="N53" s="57"/>
      <c r="O53" s="57"/>
      <c r="P53" s="57"/>
      <c r="Q53" s="59"/>
    </row>
    <row r="54" spans="2:17" x14ac:dyDescent="0.3">
      <c r="B54" s="56"/>
      <c r="C54" s="63" t="str">
        <f>'Roth IRA'!F68</f>
        <v/>
      </c>
      <c r="D54" s="182">
        <f>IF(C54="",0,SUM('Roth IRA'!N$17:N68))</f>
        <v>0</v>
      </c>
      <c r="E54" s="182">
        <f>IF(C54="",0,SUM('Roth IRA'!$Q$17:Q68))</f>
        <v>0</v>
      </c>
      <c r="F54" s="182">
        <f>IF(C54="",0,SUM('Roth IRA'!$T$17:T68))</f>
        <v>0</v>
      </c>
      <c r="G54" s="182">
        <f t="shared" si="0"/>
        <v>0</v>
      </c>
      <c r="H54" s="57"/>
      <c r="I54" s="57"/>
      <c r="J54" s="57"/>
      <c r="K54" s="57"/>
      <c r="L54" s="57"/>
      <c r="M54" s="57"/>
      <c r="N54" s="57"/>
      <c r="O54" s="57"/>
      <c r="P54" s="57"/>
      <c r="Q54" s="59"/>
    </row>
    <row r="55" spans="2:17" x14ac:dyDescent="0.3">
      <c r="B55" s="56"/>
      <c r="C55" s="63" t="str">
        <f>'Roth IRA'!F69</f>
        <v/>
      </c>
      <c r="D55" s="182">
        <f>IF(C55="",0,SUM('Roth IRA'!N$17:N69))</f>
        <v>0</v>
      </c>
      <c r="E55" s="182">
        <f>IF(C55="",0,SUM('Roth IRA'!$Q$17:Q69))</f>
        <v>0</v>
      </c>
      <c r="F55" s="182">
        <f>IF(C55="",0,SUM('Roth IRA'!$T$17:T69))</f>
        <v>0</v>
      </c>
      <c r="G55" s="182">
        <f t="shared" si="0"/>
        <v>0</v>
      </c>
      <c r="H55" s="57"/>
      <c r="I55" s="57"/>
      <c r="J55" s="57"/>
      <c r="K55" s="57"/>
      <c r="L55" s="57"/>
      <c r="M55" s="57"/>
      <c r="N55" s="57"/>
      <c r="O55" s="57"/>
      <c r="P55" s="57"/>
      <c r="Q55" s="59"/>
    </row>
    <row r="56" spans="2:17" x14ac:dyDescent="0.3">
      <c r="B56" s="56"/>
      <c r="C56" s="63" t="str">
        <f>'Roth IRA'!F70</f>
        <v/>
      </c>
      <c r="D56" s="182">
        <f>IF(C56="",0,SUM('Roth IRA'!N$17:N70))</f>
        <v>0</v>
      </c>
      <c r="E56" s="182">
        <f>IF(C56="",0,SUM('Roth IRA'!$Q$17:Q70))</f>
        <v>0</v>
      </c>
      <c r="F56" s="182">
        <f>IF(C56="",0,SUM('Roth IRA'!$T$17:T70))</f>
        <v>0</v>
      </c>
      <c r="G56" s="182">
        <f t="shared" si="0"/>
        <v>0</v>
      </c>
      <c r="H56" s="57"/>
      <c r="I56" s="57"/>
      <c r="J56" s="57"/>
      <c r="K56" s="57"/>
      <c r="L56" s="57"/>
      <c r="M56" s="57"/>
      <c r="N56" s="57"/>
      <c r="O56" s="57"/>
      <c r="P56" s="57"/>
      <c r="Q56" s="59"/>
    </row>
    <row r="57" spans="2:17" x14ac:dyDescent="0.3">
      <c r="B57" s="56"/>
      <c r="C57" s="63" t="str">
        <f>'Roth IRA'!F71</f>
        <v/>
      </c>
      <c r="D57" s="182">
        <f>IF(C57="",0,SUM('Roth IRA'!N$17:N71))</f>
        <v>0</v>
      </c>
      <c r="E57" s="182">
        <f>IF(C57="",0,SUM('Roth IRA'!$Q$17:Q71))</f>
        <v>0</v>
      </c>
      <c r="F57" s="182">
        <f>IF(C57="",0,SUM('Roth IRA'!$T$17:T71))</f>
        <v>0</v>
      </c>
      <c r="G57" s="182">
        <f t="shared" si="0"/>
        <v>0</v>
      </c>
      <c r="H57" s="57"/>
      <c r="I57" s="57"/>
      <c r="J57" s="57"/>
      <c r="K57" s="57"/>
      <c r="L57" s="57"/>
      <c r="M57" s="57"/>
      <c r="N57" s="57"/>
      <c r="O57" s="57"/>
      <c r="P57" s="57"/>
      <c r="Q57" s="59"/>
    </row>
    <row r="58" spans="2:17" x14ac:dyDescent="0.3">
      <c r="B58" s="56"/>
      <c r="C58" s="63" t="str">
        <f>'Roth IRA'!F72</f>
        <v/>
      </c>
      <c r="D58" s="182">
        <f>IF(C58="",0,SUM('Roth IRA'!N$17:N72))</f>
        <v>0</v>
      </c>
      <c r="E58" s="182">
        <f>IF(C58="",0,SUM('Roth IRA'!$Q$17:Q72))</f>
        <v>0</v>
      </c>
      <c r="F58" s="182">
        <f>IF(C58="",0,SUM('Roth IRA'!$T$17:T72))</f>
        <v>0</v>
      </c>
      <c r="G58" s="182">
        <f t="shared" si="0"/>
        <v>0</v>
      </c>
      <c r="H58" s="57"/>
      <c r="I58" s="57"/>
      <c r="J58" s="57"/>
      <c r="K58" s="57"/>
      <c r="L58" s="57"/>
      <c r="M58" s="57"/>
      <c r="N58" s="57"/>
      <c r="O58" s="57"/>
      <c r="P58" s="57"/>
      <c r="Q58" s="59"/>
    </row>
    <row r="59" spans="2:17" x14ac:dyDescent="0.3">
      <c r="B59" s="56"/>
      <c r="C59" s="63" t="str">
        <f>'Roth IRA'!F73</f>
        <v/>
      </c>
      <c r="D59" s="182">
        <f>IF(C59="",0,SUM('Roth IRA'!N$17:N73))</f>
        <v>0</v>
      </c>
      <c r="E59" s="182">
        <f>IF(C59="",0,SUM('Roth IRA'!$Q$17:Q73))</f>
        <v>0</v>
      </c>
      <c r="F59" s="182">
        <f>IF(C59="",0,SUM('Roth IRA'!$T$17:T73))</f>
        <v>0</v>
      </c>
      <c r="G59" s="182">
        <f t="shared" si="0"/>
        <v>0</v>
      </c>
      <c r="H59" s="57"/>
      <c r="I59" s="57"/>
      <c r="J59" s="57"/>
      <c r="K59" s="57"/>
      <c r="L59" s="57"/>
      <c r="M59" s="57"/>
      <c r="N59" s="57"/>
      <c r="O59" s="57"/>
      <c r="P59" s="57"/>
      <c r="Q59" s="59"/>
    </row>
    <row r="60" spans="2:17" x14ac:dyDescent="0.3">
      <c r="B60" s="56"/>
      <c r="C60" s="63" t="str">
        <f>'Roth IRA'!F74</f>
        <v/>
      </c>
      <c r="D60" s="182">
        <f>IF(C60="",0,SUM('Roth IRA'!N$17:N74))</f>
        <v>0</v>
      </c>
      <c r="E60" s="182">
        <f>IF(C60="",0,SUM('Roth IRA'!$Q$17:Q74))</f>
        <v>0</v>
      </c>
      <c r="F60" s="182">
        <f>IF(C60="",0,SUM('Roth IRA'!$T$17:T74))</f>
        <v>0</v>
      </c>
      <c r="G60" s="182">
        <f t="shared" si="0"/>
        <v>0</v>
      </c>
      <c r="H60" s="57"/>
      <c r="I60" s="57"/>
      <c r="J60" s="57"/>
      <c r="K60" s="57"/>
      <c r="L60" s="57"/>
      <c r="M60" s="57"/>
      <c r="N60" s="57"/>
      <c r="O60" s="57"/>
      <c r="P60" s="57"/>
      <c r="Q60" s="59"/>
    </row>
    <row r="61" spans="2:17" x14ac:dyDescent="0.3">
      <c r="B61" s="56"/>
      <c r="C61" s="63" t="str">
        <f>'Roth IRA'!F75</f>
        <v/>
      </c>
      <c r="D61" s="182">
        <f>IF(C61="",0,SUM('Roth IRA'!N$17:N75))</f>
        <v>0</v>
      </c>
      <c r="E61" s="182">
        <f>IF(C61="",0,SUM('Roth IRA'!$Q$17:Q75))</f>
        <v>0</v>
      </c>
      <c r="F61" s="182">
        <f>IF(C61="",0,SUM('Roth IRA'!$T$17:T75))</f>
        <v>0</v>
      </c>
      <c r="G61" s="182">
        <f t="shared" si="0"/>
        <v>0</v>
      </c>
      <c r="H61" s="57"/>
      <c r="I61" s="57"/>
      <c r="J61" s="57"/>
      <c r="K61" s="57"/>
      <c r="L61" s="57"/>
      <c r="M61" s="57"/>
      <c r="N61" s="57"/>
      <c r="O61" s="57"/>
      <c r="P61" s="57"/>
      <c r="Q61" s="59"/>
    </row>
    <row r="62" spans="2:17" x14ac:dyDescent="0.3">
      <c r="B62" s="56"/>
      <c r="C62" s="63" t="str">
        <f>'Roth IRA'!F76</f>
        <v/>
      </c>
      <c r="D62" s="182">
        <f>IF(C62="",0,SUM('Roth IRA'!N$17:N76))</f>
        <v>0</v>
      </c>
      <c r="E62" s="182">
        <f>IF(C62="",0,SUM('Roth IRA'!$Q$17:Q76))</f>
        <v>0</v>
      </c>
      <c r="F62" s="182">
        <f>IF(C62="",0,SUM('Roth IRA'!$T$17:T76))</f>
        <v>0</v>
      </c>
      <c r="G62" s="182">
        <f t="shared" si="0"/>
        <v>0</v>
      </c>
      <c r="H62" s="57"/>
      <c r="I62" s="57"/>
      <c r="J62" s="57"/>
      <c r="K62" s="57"/>
      <c r="L62" s="57"/>
      <c r="M62" s="57"/>
      <c r="N62" s="57"/>
      <c r="O62" s="57"/>
      <c r="P62" s="57"/>
      <c r="Q62" s="59"/>
    </row>
    <row r="63" spans="2:17" ht="15" thickBot="1" x14ac:dyDescent="0.35">
      <c r="B63" s="60"/>
      <c r="C63" s="61"/>
      <c r="D63" s="183"/>
      <c r="E63" s="183"/>
      <c r="F63" s="183"/>
      <c r="G63" s="183"/>
      <c r="H63" s="61"/>
      <c r="I63" s="61"/>
      <c r="J63" s="61"/>
      <c r="K63" s="61"/>
      <c r="L63" s="61"/>
      <c r="M63" s="61"/>
      <c r="N63" s="61"/>
      <c r="O63" s="61"/>
      <c r="P63" s="61"/>
      <c r="Q63" s="62"/>
    </row>
    <row r="64" spans="2:17" ht="15" thickTop="1"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53"/>
  <sheetViews>
    <sheetView showGridLines="0" zoomScale="80" zoomScaleNormal="80" workbookViewId="0">
      <selection activeCell="G12" sqref="G12:G23"/>
    </sheetView>
  </sheetViews>
  <sheetFormatPr defaultRowHeight="14.4" x14ac:dyDescent="0.3"/>
  <cols>
    <col min="1" max="1" width="1.5546875" customWidth="1"/>
    <col min="2" max="2" width="5" bestFit="1" customWidth="1"/>
    <col min="3" max="3" width="5.44140625" style="1" customWidth="1"/>
    <col min="4" max="4" width="5.44140625" style="209" customWidth="1"/>
    <col min="5" max="5" width="2.109375" customWidth="1"/>
    <col min="6" max="6" width="6.88671875" bestFit="1" customWidth="1"/>
    <col min="7" max="7" width="5.5546875" style="100" bestFit="1" customWidth="1"/>
    <col min="8" max="8" width="7.109375" bestFit="1" customWidth="1"/>
    <col min="9" max="9" width="7.109375" customWidth="1"/>
    <col min="10" max="10" width="8.21875" customWidth="1"/>
    <col min="11" max="11" width="2.109375" customWidth="1"/>
    <col min="12" max="12" width="7.33203125" bestFit="1" customWidth="1"/>
    <col min="13" max="13" width="7.6640625" style="100" bestFit="1" customWidth="1"/>
    <col min="14" max="14" width="7.109375" bestFit="1" customWidth="1"/>
    <col min="15" max="15" width="7.109375" customWidth="1"/>
    <col min="16" max="16" width="7.77734375" customWidth="1"/>
    <col min="17" max="17" width="1.88671875" customWidth="1"/>
    <col min="18" max="18" width="8.109375" bestFit="1" customWidth="1"/>
    <col min="19" max="19" width="5.5546875" style="100" bestFit="1" customWidth="1"/>
    <col min="20" max="20" width="7.33203125" bestFit="1" customWidth="1"/>
    <col min="21" max="21" width="7.33203125" customWidth="1"/>
    <col min="22" max="22" width="7.77734375" bestFit="1" customWidth="1"/>
    <col min="23" max="23" width="1.44140625" customWidth="1"/>
    <col min="27" max="27" width="3" customWidth="1"/>
    <col min="28" max="28" width="3.21875" customWidth="1"/>
    <col min="29" max="29" width="3.44140625" customWidth="1"/>
    <col min="30" max="30" width="3" customWidth="1"/>
    <col min="31" max="31" width="4.21875" customWidth="1"/>
    <col min="32" max="32" width="3.6640625" customWidth="1"/>
  </cols>
  <sheetData>
    <row r="1" spans="1:32" ht="28.8" x14ac:dyDescent="0.55000000000000004">
      <c r="G1" s="175" t="s">
        <v>138</v>
      </c>
    </row>
    <row r="2" spans="1:32" x14ac:dyDescent="0.3">
      <c r="C2" s="246" t="s">
        <v>135</v>
      </c>
      <c r="D2" s="208"/>
      <c r="F2" s="102"/>
      <c r="G2"/>
      <c r="I2" s="135" t="s">
        <v>35</v>
      </c>
      <c r="J2" s="135"/>
      <c r="L2" s="134">
        <f>'Roth IRA'!InterestRate/100</f>
        <v>7.0000000000000007E-2</v>
      </c>
      <c r="M2"/>
      <c r="O2" s="135" t="s">
        <v>106</v>
      </c>
      <c r="P2" s="135"/>
      <c r="R2" s="271">
        <f>'Roth IRA'!RetirementAge</f>
        <v>65</v>
      </c>
      <c r="T2" s="272" t="s">
        <v>154</v>
      </c>
      <c r="U2" s="265">
        <f>VLOOKUP(R3*1000,IRS!$H$4:$L$9,5)</f>
        <v>0.30137920524691353</v>
      </c>
    </row>
    <row r="3" spans="1:32" ht="18" x14ac:dyDescent="0.35">
      <c r="A3" s="113"/>
      <c r="B3" s="87"/>
      <c r="F3" s="102"/>
      <c r="G3"/>
      <c r="H3" s="134"/>
      <c r="I3" s="134"/>
      <c r="J3" s="134"/>
      <c r="M3" s="263"/>
      <c r="O3" s="263"/>
      <c r="P3" s="262" t="s">
        <v>144</v>
      </c>
      <c r="R3" s="263">
        <f>VLOOKUP($R$2,'Roth IRA'!$E$17:$K$77,7,FALSE)/1000</f>
        <v>273.19052955063324</v>
      </c>
      <c r="T3" s="273" t="s">
        <v>153</v>
      </c>
      <c r="U3" s="263">
        <f>R3*(1-U2)</f>
        <v>190.85658487367996</v>
      </c>
    </row>
    <row r="4" spans="1:32" ht="18.600000000000001" thickBot="1" x14ac:dyDescent="0.4">
      <c r="A4" s="113"/>
      <c r="B4" s="87"/>
      <c r="F4" s="102"/>
      <c r="G4"/>
      <c r="H4" s="134"/>
      <c r="I4" s="134"/>
      <c r="J4" s="134"/>
    </row>
    <row r="5" spans="1:32" ht="14.4" customHeight="1" thickBot="1" x14ac:dyDescent="0.35">
      <c r="C5" s="223" t="s">
        <v>117</v>
      </c>
      <c r="D5" s="210"/>
      <c r="F5" s="398" t="s">
        <v>71</v>
      </c>
      <c r="G5" s="399"/>
      <c r="H5" s="399"/>
      <c r="I5" s="399"/>
      <c r="J5" s="400"/>
      <c r="K5" s="127"/>
      <c r="L5" s="401" t="s">
        <v>72</v>
      </c>
      <c r="M5" s="402"/>
      <c r="N5" s="402"/>
      <c r="O5" s="402"/>
      <c r="P5" s="403"/>
      <c r="Q5" s="127"/>
      <c r="R5" s="401" t="s">
        <v>74</v>
      </c>
      <c r="S5" s="402"/>
      <c r="T5" s="402"/>
      <c r="U5" s="402"/>
      <c r="V5" s="403"/>
      <c r="X5" s="405"/>
      <c r="Y5" s="405"/>
      <c r="Z5" s="405"/>
      <c r="AA5" s="406" t="s">
        <v>115</v>
      </c>
      <c r="AB5" s="406"/>
      <c r="AC5" s="407"/>
      <c r="AD5" s="408" t="s">
        <v>101</v>
      </c>
      <c r="AE5" s="409"/>
      <c r="AF5" s="409"/>
    </row>
    <row r="6" spans="1:32" ht="42" thickBot="1" x14ac:dyDescent="0.35">
      <c r="C6" s="201" t="s">
        <v>63</v>
      </c>
      <c r="D6" s="202" t="s">
        <v>64</v>
      </c>
      <c r="E6" s="204"/>
      <c r="F6" s="206" t="s">
        <v>65</v>
      </c>
      <c r="G6" s="207" t="s">
        <v>131</v>
      </c>
      <c r="H6" s="207" t="s">
        <v>66</v>
      </c>
      <c r="I6" s="203" t="s">
        <v>132</v>
      </c>
      <c r="J6" s="270" t="s">
        <v>113</v>
      </c>
      <c r="K6" s="205"/>
      <c r="L6" s="206" t="s">
        <v>65</v>
      </c>
      <c r="M6" s="207" t="s">
        <v>131</v>
      </c>
      <c r="N6" s="207" t="s">
        <v>66</v>
      </c>
      <c r="O6" s="203" t="s">
        <v>132</v>
      </c>
      <c r="P6" s="270" t="s">
        <v>113</v>
      </c>
      <c r="Q6" s="205"/>
      <c r="R6" s="206" t="s">
        <v>107</v>
      </c>
      <c r="S6" s="207" t="s">
        <v>131</v>
      </c>
      <c r="T6" s="207" t="s">
        <v>108</v>
      </c>
      <c r="U6" s="203" t="s">
        <v>132</v>
      </c>
      <c r="V6" s="270" t="s">
        <v>113</v>
      </c>
      <c r="X6" s="410" t="s">
        <v>116</v>
      </c>
      <c r="Y6" s="297"/>
      <c r="Z6" s="411"/>
      <c r="AA6" s="412" t="s">
        <v>105</v>
      </c>
      <c r="AB6" s="413"/>
      <c r="AC6" s="413"/>
      <c r="AD6" s="413" t="s">
        <v>8</v>
      </c>
      <c r="AE6" s="413"/>
      <c r="AF6" s="414"/>
    </row>
    <row r="7" spans="1:32" x14ac:dyDescent="0.3">
      <c r="C7" s="211">
        <f t="shared" ref="C7:C20" si="0">C8-1</f>
        <v>55</v>
      </c>
      <c r="D7" s="212">
        <f>90-C7</f>
        <v>35</v>
      </c>
      <c r="F7" s="137"/>
      <c r="G7" s="136"/>
      <c r="H7" s="165"/>
      <c r="I7" s="165"/>
      <c r="J7" s="138"/>
      <c r="K7" s="127"/>
      <c r="L7" s="137"/>
      <c r="M7" s="136"/>
      <c r="N7" s="165"/>
      <c r="O7" s="165"/>
      <c r="P7" s="138"/>
      <c r="Q7" s="127"/>
      <c r="R7" s="137"/>
      <c r="S7" s="136"/>
      <c r="T7" s="165"/>
      <c r="U7" s="165"/>
      <c r="V7" s="138"/>
      <c r="Y7" s="167">
        <f>AA7+AD7</f>
        <v>1</v>
      </c>
      <c r="AA7" s="404">
        <f>'Roth IRA'!AG4</f>
        <v>0.76470588235294124</v>
      </c>
      <c r="AB7" s="404"/>
      <c r="AC7" s="404"/>
      <c r="AD7" s="404">
        <f>'Roth IRA'!AJ4</f>
        <v>0.23529411764705871</v>
      </c>
      <c r="AE7" s="404"/>
      <c r="AF7" s="404"/>
    </row>
    <row r="8" spans="1:32" x14ac:dyDescent="0.3">
      <c r="C8" s="211">
        <f t="shared" si="0"/>
        <v>56</v>
      </c>
      <c r="D8" s="212">
        <f>D7-0.5</f>
        <v>34.5</v>
      </c>
      <c r="F8" s="139">
        <f>VLOOKUP($C7,'Roth IRA'!$E$17:$Y$77,19,FALSE)/1000</f>
        <v>2125.2048779237912</v>
      </c>
      <c r="G8" s="244">
        <f>IF(C8&gt;59,F8/D8,0)</f>
        <v>0</v>
      </c>
      <c r="H8" s="166">
        <f t="shared" ref="H8:H53" si="1">(F8-G8)*(1+$L$2)</f>
        <v>2273.9692193784567</v>
      </c>
      <c r="I8" s="247">
        <f t="shared" ref="I8:I53" si="2">G8*$AA$7</f>
        <v>0</v>
      </c>
      <c r="J8" s="245">
        <f>G8-I8</f>
        <v>0</v>
      </c>
      <c r="K8" s="190"/>
      <c r="L8" s="144"/>
      <c r="M8" s="191"/>
      <c r="N8" s="168"/>
      <c r="O8" s="168"/>
      <c r="P8" s="145"/>
      <c r="Q8" s="190"/>
      <c r="R8" s="144"/>
      <c r="S8" s="191"/>
      <c r="T8" s="168"/>
      <c r="U8" s="168"/>
      <c r="V8" s="145"/>
    </row>
    <row r="9" spans="1:32" x14ac:dyDescent="0.3">
      <c r="C9" s="211">
        <f t="shared" si="0"/>
        <v>57</v>
      </c>
      <c r="D9" s="212">
        <f t="shared" ref="D9:D20" si="3">D8-0.5</f>
        <v>34</v>
      </c>
      <c r="F9" s="141">
        <f>H8</f>
        <v>2273.9692193784567</v>
      </c>
      <c r="G9" s="244">
        <f>IF(C9&gt;59,F9/D9,0)</f>
        <v>0</v>
      </c>
      <c r="H9" s="166">
        <f t="shared" si="1"/>
        <v>2433.1470647349488</v>
      </c>
      <c r="I9" s="247">
        <f t="shared" si="2"/>
        <v>0</v>
      </c>
      <c r="J9" s="245">
        <f t="shared" ref="J9:J53" si="4">G9-I9</f>
        <v>0</v>
      </c>
      <c r="K9" s="190"/>
      <c r="L9" s="144"/>
      <c r="M9" s="191"/>
      <c r="N9" s="136" t="str">
        <f>IF($R$2=60,"See this model","")</f>
        <v/>
      </c>
      <c r="O9" s="168"/>
      <c r="P9" s="145"/>
      <c r="Q9" s="190"/>
      <c r="R9" s="144"/>
      <c r="S9" s="191"/>
      <c r="T9" s="168"/>
      <c r="U9" s="168"/>
      <c r="V9" s="145"/>
    </row>
    <row r="10" spans="1:32" x14ac:dyDescent="0.3">
      <c r="C10" s="211">
        <f t="shared" si="0"/>
        <v>58</v>
      </c>
      <c r="D10" s="212">
        <f t="shared" si="3"/>
        <v>33.5</v>
      </c>
      <c r="F10" s="141">
        <f t="shared" ref="F10:F53" si="5">H9</f>
        <v>2433.1470647349488</v>
      </c>
      <c r="G10" s="244">
        <f>IF(C10&gt;59,F10/D10,0)</f>
        <v>0</v>
      </c>
      <c r="H10" s="166">
        <f t="shared" si="1"/>
        <v>2603.4673592663953</v>
      </c>
      <c r="I10" s="247">
        <f t="shared" si="2"/>
        <v>0</v>
      </c>
      <c r="J10" s="245">
        <f t="shared" si="4"/>
        <v>0</v>
      </c>
      <c r="K10" s="190"/>
      <c r="L10" s="144"/>
      <c r="M10" s="191"/>
      <c r="N10" s="168"/>
      <c r="O10" s="168"/>
      <c r="P10" s="145"/>
      <c r="Q10" s="190"/>
      <c r="R10" s="144"/>
      <c r="S10" s="191"/>
      <c r="T10" s="136" t="str">
        <f>IF($R$2=65,"See this model","")</f>
        <v>See this model</v>
      </c>
      <c r="U10" s="168"/>
      <c r="V10" s="145"/>
    </row>
    <row r="11" spans="1:32" x14ac:dyDescent="0.3">
      <c r="C11" s="224">
        <f t="shared" si="0"/>
        <v>59</v>
      </c>
      <c r="D11" s="212">
        <f t="shared" si="3"/>
        <v>33</v>
      </c>
      <c r="F11" s="141">
        <f t="shared" si="5"/>
        <v>2603.4673592663953</v>
      </c>
      <c r="G11" s="244">
        <f>IF(C11&gt;59,F11/D11,0)</f>
        <v>0</v>
      </c>
      <c r="H11" s="166">
        <f t="shared" si="1"/>
        <v>2785.710074415043</v>
      </c>
      <c r="I11" s="247">
        <f t="shared" si="2"/>
        <v>0</v>
      </c>
      <c r="J11" s="245">
        <f t="shared" si="4"/>
        <v>0</v>
      </c>
      <c r="K11" s="190"/>
      <c r="L11" s="144"/>
      <c r="M11" s="191"/>
      <c r="N11" s="168"/>
      <c r="O11" s="168"/>
      <c r="P11" s="145"/>
      <c r="Q11" s="190"/>
      <c r="R11" s="144"/>
      <c r="S11" s="191"/>
      <c r="T11" s="168"/>
      <c r="U11" s="168"/>
      <c r="V11" s="145"/>
    </row>
    <row r="12" spans="1:32" x14ac:dyDescent="0.3">
      <c r="C12" s="211">
        <f t="shared" si="0"/>
        <v>60</v>
      </c>
      <c r="D12" s="212">
        <f t="shared" si="3"/>
        <v>32.5</v>
      </c>
      <c r="F12" s="141">
        <f t="shared" si="5"/>
        <v>2785.710074415043</v>
      </c>
      <c r="G12" s="192">
        <f>IF($C12&gt;59,F12/$D12,0)</f>
        <v>85.714156135847475</v>
      </c>
      <c r="H12" s="166">
        <f t="shared" si="1"/>
        <v>2888.9956325587391</v>
      </c>
      <c r="I12" s="215">
        <f t="shared" si="2"/>
        <v>65.546119398001011</v>
      </c>
      <c r="J12" s="140">
        <f t="shared" si="4"/>
        <v>20.168036737846464</v>
      </c>
      <c r="K12" s="190"/>
      <c r="L12" s="146"/>
      <c r="M12" s="193"/>
      <c r="N12" s="169"/>
      <c r="O12" s="169"/>
      <c r="P12" s="147"/>
      <c r="Q12" s="190"/>
      <c r="R12" s="148"/>
      <c r="S12" s="191"/>
      <c r="T12" s="168"/>
      <c r="U12" s="168"/>
      <c r="V12" s="145"/>
    </row>
    <row r="13" spans="1:32" x14ac:dyDescent="0.3">
      <c r="C13" s="211">
        <f t="shared" si="0"/>
        <v>61</v>
      </c>
      <c r="D13" s="212">
        <f t="shared" si="3"/>
        <v>32</v>
      </c>
      <c r="F13" s="141">
        <f t="shared" si="5"/>
        <v>2888.9956325587391</v>
      </c>
      <c r="G13" s="189">
        <f t="shared" ref="G13:G53" si="6">IF(C13&gt;59,F13/D13,0)</f>
        <v>90.281113517460597</v>
      </c>
      <c r="H13" s="166">
        <f t="shared" si="1"/>
        <v>2994.6245353741683</v>
      </c>
      <c r="I13" s="215">
        <f t="shared" si="2"/>
        <v>69.038498572175754</v>
      </c>
      <c r="J13" s="140">
        <f t="shared" si="4"/>
        <v>21.242614945284842</v>
      </c>
      <c r="K13" s="190"/>
      <c r="L13" s="139">
        <f>VLOOKUP($C12,'Roth IRA'!$E$17:$Y$77,19,FALSE)/1000</f>
        <v>3305.4327643136539</v>
      </c>
      <c r="M13" s="192">
        <f>IF($C13&gt;59,L13/$D13,0)</f>
        <v>103.29477388480169</v>
      </c>
      <c r="N13" s="166">
        <f t="shared" ref="N13:N53" si="7">(L13-M13)*(1+$L$2)</f>
        <v>3426.2876497588722</v>
      </c>
      <c r="O13" s="215">
        <f t="shared" ref="O13:O53" si="8">M13*$AA$7</f>
        <v>78.990121206024824</v>
      </c>
      <c r="P13" s="140">
        <f>M13-O13</f>
        <v>24.304652678776861</v>
      </c>
      <c r="Q13" s="190"/>
      <c r="R13" s="144"/>
      <c r="S13" s="191"/>
      <c r="T13" s="168"/>
      <c r="U13" s="168"/>
      <c r="V13" s="145"/>
    </row>
    <row r="14" spans="1:32" x14ac:dyDescent="0.3">
      <c r="C14" s="211">
        <f t="shared" si="0"/>
        <v>62</v>
      </c>
      <c r="D14" s="212">
        <f t="shared" si="3"/>
        <v>31.5</v>
      </c>
      <c r="F14" s="141">
        <f t="shared" si="5"/>
        <v>2994.6245353741683</v>
      </c>
      <c r="G14" s="189">
        <f t="shared" si="6"/>
        <v>95.067445567433921</v>
      </c>
      <c r="H14" s="166">
        <f t="shared" si="1"/>
        <v>3102.5260860932062</v>
      </c>
      <c r="I14" s="215">
        <f t="shared" si="2"/>
        <v>72.698634845684765</v>
      </c>
      <c r="J14" s="140">
        <f t="shared" si="4"/>
        <v>22.368810721749156</v>
      </c>
      <c r="K14" s="190"/>
      <c r="L14" s="141">
        <f t="shared" ref="L14:L53" si="9">N13</f>
        <v>3426.2876497588722</v>
      </c>
      <c r="M14" s="194">
        <f t="shared" ref="M14:M53" si="10">IF($C14&gt;59,L14/$D14,0)</f>
        <v>108.77103650028165</v>
      </c>
      <c r="N14" s="166">
        <f t="shared" si="7"/>
        <v>3549.742776186692</v>
      </c>
      <c r="O14" s="215">
        <f t="shared" si="8"/>
        <v>83.177851441391866</v>
      </c>
      <c r="P14" s="140">
        <f t="shared" ref="P14:P53" si="11">M14-O14</f>
        <v>25.593185058889787</v>
      </c>
      <c r="Q14" s="190"/>
      <c r="R14" s="144"/>
      <c r="S14" s="191"/>
      <c r="T14" s="168"/>
      <c r="U14" s="168"/>
      <c r="V14" s="145"/>
    </row>
    <row r="15" spans="1:32" x14ac:dyDescent="0.3">
      <c r="C15" s="211">
        <f t="shared" si="0"/>
        <v>63</v>
      </c>
      <c r="D15" s="212">
        <f t="shared" si="3"/>
        <v>31</v>
      </c>
      <c r="F15" s="141">
        <f t="shared" si="5"/>
        <v>3102.5260860932062</v>
      </c>
      <c r="G15" s="189">
        <f t="shared" si="6"/>
        <v>100.08148664816794</v>
      </c>
      <c r="H15" s="166">
        <f t="shared" si="1"/>
        <v>3212.6157214061914</v>
      </c>
      <c r="I15" s="215">
        <f t="shared" si="2"/>
        <v>76.53290155448137</v>
      </c>
      <c r="J15" s="140">
        <f t="shared" si="4"/>
        <v>23.548585093686569</v>
      </c>
      <c r="K15" s="190"/>
      <c r="L15" s="141">
        <f t="shared" si="9"/>
        <v>3549.742776186692</v>
      </c>
      <c r="M15" s="194">
        <f t="shared" si="10"/>
        <v>114.50783148989329</v>
      </c>
      <c r="N15" s="166">
        <f t="shared" si="7"/>
        <v>3675.7013908255749</v>
      </c>
      <c r="O15" s="215">
        <f t="shared" si="8"/>
        <v>87.564812315800765</v>
      </c>
      <c r="P15" s="140">
        <f t="shared" si="11"/>
        <v>26.943019174092527</v>
      </c>
      <c r="Q15" s="190"/>
      <c r="R15" s="144"/>
      <c r="S15" s="191"/>
      <c r="T15" s="168"/>
      <c r="U15" s="168"/>
      <c r="V15" s="145"/>
    </row>
    <row r="16" spans="1:32" x14ac:dyDescent="0.3">
      <c r="C16" s="211">
        <f t="shared" si="0"/>
        <v>64</v>
      </c>
      <c r="D16" s="212">
        <f t="shared" si="3"/>
        <v>30.5</v>
      </c>
      <c r="F16" s="141">
        <f t="shared" si="5"/>
        <v>3212.6157214061914</v>
      </c>
      <c r="G16" s="189">
        <f t="shared" si="6"/>
        <v>105.33166299692431</v>
      </c>
      <c r="H16" s="166">
        <f t="shared" si="1"/>
        <v>3324.7939424979159</v>
      </c>
      <c r="I16" s="215">
        <f t="shared" si="2"/>
        <v>80.547742291765658</v>
      </c>
      <c r="J16" s="140">
        <f t="shared" si="4"/>
        <v>24.78392070515865</v>
      </c>
      <c r="K16" s="190"/>
      <c r="L16" s="141">
        <f t="shared" si="9"/>
        <v>3675.7013908255749</v>
      </c>
      <c r="M16" s="194">
        <f t="shared" si="10"/>
        <v>120.51479969919917</v>
      </c>
      <c r="N16" s="166">
        <f t="shared" si="7"/>
        <v>3804.0496525052222</v>
      </c>
      <c r="O16" s="215">
        <f t="shared" si="8"/>
        <v>92.158376240564081</v>
      </c>
      <c r="P16" s="140">
        <f t="shared" si="11"/>
        <v>28.356423458635092</v>
      </c>
      <c r="Q16" s="190"/>
      <c r="R16" s="144"/>
      <c r="S16" s="191"/>
      <c r="T16" s="168"/>
      <c r="U16" s="168"/>
      <c r="V16" s="145"/>
    </row>
    <row r="17" spans="2:22" x14ac:dyDescent="0.3">
      <c r="C17" s="211">
        <f t="shared" si="0"/>
        <v>65</v>
      </c>
      <c r="D17" s="212">
        <f t="shared" si="3"/>
        <v>30</v>
      </c>
      <c r="F17" s="141">
        <f t="shared" si="5"/>
        <v>3324.7939424979159</v>
      </c>
      <c r="G17" s="189">
        <f t="shared" si="6"/>
        <v>110.82646474993052</v>
      </c>
      <c r="H17" s="166">
        <f t="shared" si="1"/>
        <v>3438.9452011903445</v>
      </c>
      <c r="I17" s="215">
        <f t="shared" si="2"/>
        <v>84.749649514652759</v>
      </c>
      <c r="J17" s="140">
        <f t="shared" si="4"/>
        <v>26.076815235277763</v>
      </c>
      <c r="K17" s="190"/>
      <c r="L17" s="141">
        <f t="shared" si="9"/>
        <v>3804.0496525052222</v>
      </c>
      <c r="M17" s="194">
        <f t="shared" si="10"/>
        <v>126.80165508350741</v>
      </c>
      <c r="N17" s="166">
        <f t="shared" si="7"/>
        <v>3934.6553572412354</v>
      </c>
      <c r="O17" s="215">
        <f t="shared" si="8"/>
        <v>96.965971534446851</v>
      </c>
      <c r="P17" s="140">
        <f t="shared" si="11"/>
        <v>29.835683549060562</v>
      </c>
      <c r="Q17" s="190"/>
      <c r="R17" s="148"/>
      <c r="S17" s="191"/>
      <c r="T17" s="168"/>
      <c r="U17" s="168"/>
      <c r="V17" s="145"/>
    </row>
    <row r="18" spans="2:22" x14ac:dyDescent="0.3">
      <c r="C18" s="211">
        <f t="shared" si="0"/>
        <v>66</v>
      </c>
      <c r="D18" s="212">
        <f t="shared" si="3"/>
        <v>29.5</v>
      </c>
      <c r="F18" s="141">
        <f t="shared" si="5"/>
        <v>3438.9452011903445</v>
      </c>
      <c r="G18" s="189">
        <f t="shared" si="6"/>
        <v>116.5744135996727</v>
      </c>
      <c r="H18" s="166">
        <f t="shared" si="1"/>
        <v>3554.9367427220191</v>
      </c>
      <c r="I18" s="215">
        <f t="shared" si="2"/>
        <v>89.145139811514426</v>
      </c>
      <c r="J18" s="140">
        <f t="shared" si="4"/>
        <v>27.42927378815827</v>
      </c>
      <c r="K18" s="190"/>
      <c r="L18" s="141">
        <f t="shared" si="9"/>
        <v>3934.6553572412354</v>
      </c>
      <c r="M18" s="194">
        <f t="shared" si="10"/>
        <v>133.37814770309274</v>
      </c>
      <c r="N18" s="166">
        <f t="shared" si="7"/>
        <v>4067.3666142058128</v>
      </c>
      <c r="O18" s="215">
        <f t="shared" si="8"/>
        <v>101.99505412589446</v>
      </c>
      <c r="P18" s="140">
        <f t="shared" si="11"/>
        <v>31.383093577198281</v>
      </c>
      <c r="Q18" s="190"/>
      <c r="R18" s="139">
        <f>VLOOKUP($C17,'Roth IRA'!$E$17:$Y$77,19,FALSE)/1000</f>
        <v>5012.4833817805211</v>
      </c>
      <c r="S18" s="192">
        <f>IF($C18&gt;59,R18/$D18,0)</f>
        <v>169.91469090781428</v>
      </c>
      <c r="T18" s="166">
        <f t="shared" ref="T18:T53" si="12">(R18-S18)*(1+$L$2)</f>
        <v>5181.5484992337961</v>
      </c>
      <c r="U18" s="215">
        <f t="shared" ref="U18:U53" si="13">S18*$AA$7</f>
        <v>129.93476363538738</v>
      </c>
      <c r="V18" s="140">
        <f>S18-U18</f>
        <v>39.979927272426892</v>
      </c>
    </row>
    <row r="19" spans="2:22" x14ac:dyDescent="0.3">
      <c r="C19" s="211">
        <f t="shared" si="0"/>
        <v>67</v>
      </c>
      <c r="D19" s="212">
        <f t="shared" si="3"/>
        <v>29</v>
      </c>
      <c r="F19" s="141">
        <f t="shared" si="5"/>
        <v>3554.9367427220191</v>
      </c>
      <c r="G19" s="189">
        <f t="shared" si="6"/>
        <v>122.58402561110411</v>
      </c>
      <c r="H19" s="166">
        <f t="shared" si="1"/>
        <v>3672.617407308679</v>
      </c>
      <c r="I19" s="215">
        <f t="shared" si="2"/>
        <v>93.740725467314917</v>
      </c>
      <c r="J19" s="140">
        <f t="shared" si="4"/>
        <v>28.843300143789193</v>
      </c>
      <c r="K19" s="190"/>
      <c r="L19" s="141">
        <f t="shared" si="9"/>
        <v>4067.3666142058128</v>
      </c>
      <c r="M19" s="194">
        <f t="shared" si="10"/>
        <v>140.25402117951077</v>
      </c>
      <c r="N19" s="166">
        <f t="shared" si="7"/>
        <v>4202.0104745381432</v>
      </c>
      <c r="O19" s="215">
        <f t="shared" si="8"/>
        <v>107.2530750196259</v>
      </c>
      <c r="P19" s="140">
        <f t="shared" si="11"/>
        <v>33.000946159884876</v>
      </c>
      <c r="Q19" s="190"/>
      <c r="R19" s="141">
        <f t="shared" ref="R19:R53" si="14">T18</f>
        <v>5181.5484992337961</v>
      </c>
      <c r="S19" s="194">
        <f>IF($C19&gt;59,R19/$D19,0)</f>
        <v>178.67408618047574</v>
      </c>
      <c r="T19" s="166">
        <f t="shared" si="12"/>
        <v>5353.0756219670529</v>
      </c>
      <c r="U19" s="215">
        <f t="shared" si="13"/>
        <v>136.63312472624617</v>
      </c>
      <c r="V19" s="140">
        <f t="shared" ref="V19:V53" si="15">S19-U19</f>
        <v>42.040961454229574</v>
      </c>
    </row>
    <row r="20" spans="2:22" x14ac:dyDescent="0.3">
      <c r="C20" s="211">
        <f t="shared" si="0"/>
        <v>68</v>
      </c>
      <c r="D20" s="212">
        <f t="shared" si="3"/>
        <v>28.5</v>
      </c>
      <c r="F20" s="141">
        <f t="shared" si="5"/>
        <v>3672.617407308679</v>
      </c>
      <c r="G20" s="189">
        <f t="shared" si="6"/>
        <v>128.86376867749752</v>
      </c>
      <c r="H20" s="166">
        <f t="shared" si="1"/>
        <v>3791.8163933353649</v>
      </c>
      <c r="I20" s="215">
        <f t="shared" si="2"/>
        <v>98.542881929851049</v>
      </c>
      <c r="J20" s="140">
        <f t="shared" si="4"/>
        <v>30.320886747646469</v>
      </c>
      <c r="K20" s="190"/>
      <c r="L20" s="141">
        <f t="shared" si="9"/>
        <v>4202.0104745381432</v>
      </c>
      <c r="M20" s="194">
        <f t="shared" si="10"/>
        <v>147.43896401888222</v>
      </c>
      <c r="N20" s="166">
        <f t="shared" si="7"/>
        <v>4338.3915162556095</v>
      </c>
      <c r="O20" s="215">
        <f t="shared" si="8"/>
        <v>112.74744307326289</v>
      </c>
      <c r="P20" s="140">
        <f t="shared" si="11"/>
        <v>34.691520945619331</v>
      </c>
      <c r="Q20" s="190"/>
      <c r="R20" s="141">
        <f t="shared" si="14"/>
        <v>5353.0756219670529</v>
      </c>
      <c r="S20" s="194">
        <f t="shared" ref="S20:S53" si="16">IF($C20&gt;59,R20/$D20,0)</f>
        <v>187.8272148058615</v>
      </c>
      <c r="T20" s="166">
        <f t="shared" si="12"/>
        <v>5526.8157956624755</v>
      </c>
      <c r="U20" s="215">
        <f t="shared" si="13"/>
        <v>143.63257602801175</v>
      </c>
      <c r="V20" s="140">
        <f t="shared" si="15"/>
        <v>44.194638777849747</v>
      </c>
    </row>
    <row r="21" spans="2:22" x14ac:dyDescent="0.3">
      <c r="C21" s="211">
        <f>C22-1</f>
        <v>69</v>
      </c>
      <c r="D21" s="212">
        <f>97-C21</f>
        <v>28</v>
      </c>
      <c r="F21" s="141">
        <f t="shared" si="5"/>
        <v>3791.8163933353649</v>
      </c>
      <c r="G21" s="189">
        <f t="shared" si="6"/>
        <v>135.42201404769159</v>
      </c>
      <c r="H21" s="166">
        <f t="shared" si="1"/>
        <v>3912.3419858378106</v>
      </c>
      <c r="I21" s="215">
        <f t="shared" si="2"/>
        <v>103.55801074235239</v>
      </c>
      <c r="J21" s="140">
        <f t="shared" si="4"/>
        <v>31.864003305339196</v>
      </c>
      <c r="K21" s="190"/>
      <c r="L21" s="141">
        <f t="shared" si="9"/>
        <v>4338.3915162556095</v>
      </c>
      <c r="M21" s="194">
        <f t="shared" si="10"/>
        <v>154.94255415198606</v>
      </c>
      <c r="N21" s="166">
        <f t="shared" si="7"/>
        <v>4476.2903894508772</v>
      </c>
      <c r="O21" s="215">
        <f t="shared" si="8"/>
        <v>118.48548258681288</v>
      </c>
      <c r="P21" s="140">
        <f t="shared" si="11"/>
        <v>36.45707156517318</v>
      </c>
      <c r="Q21" s="190"/>
      <c r="R21" s="141">
        <f t="shared" si="14"/>
        <v>5526.8157956624755</v>
      </c>
      <c r="S21" s="194">
        <f t="shared" si="16"/>
        <v>197.38627841651697</v>
      </c>
      <c r="T21" s="166">
        <f t="shared" si="12"/>
        <v>5702.4895834531762</v>
      </c>
      <c r="U21" s="215">
        <f t="shared" si="13"/>
        <v>150.94244820086593</v>
      </c>
      <c r="V21" s="140">
        <f t="shared" si="15"/>
        <v>46.443830215651047</v>
      </c>
    </row>
    <row r="22" spans="2:22" x14ac:dyDescent="0.3">
      <c r="C22" s="211">
        <v>70</v>
      </c>
      <c r="D22" s="209">
        <v>27.4</v>
      </c>
      <c r="F22" s="141">
        <f t="shared" si="5"/>
        <v>3912.3419858378106</v>
      </c>
      <c r="G22" s="189">
        <f t="shared" si="6"/>
        <v>142.78620386269384</v>
      </c>
      <c r="H22" s="166">
        <f t="shared" si="1"/>
        <v>4033.4246867133752</v>
      </c>
      <c r="I22" s="215">
        <f t="shared" si="2"/>
        <v>109.18945001264824</v>
      </c>
      <c r="J22" s="140">
        <f t="shared" si="4"/>
        <v>33.596753850045602</v>
      </c>
      <c r="K22" s="190"/>
      <c r="L22" s="141">
        <f t="shared" si="9"/>
        <v>4476.2903894508772</v>
      </c>
      <c r="M22" s="194">
        <f t="shared" si="10"/>
        <v>163.36826238871816</v>
      </c>
      <c r="N22" s="166">
        <f t="shared" si="7"/>
        <v>4614.8266759565104</v>
      </c>
      <c r="O22" s="215">
        <f t="shared" si="8"/>
        <v>124.92867123843155</v>
      </c>
      <c r="P22" s="140">
        <f t="shared" si="11"/>
        <v>38.439591150286617</v>
      </c>
      <c r="Q22" s="190"/>
      <c r="R22" s="141">
        <f t="shared" si="14"/>
        <v>5702.4895834531762</v>
      </c>
      <c r="S22" s="194">
        <f t="shared" si="16"/>
        <v>208.12005779026191</v>
      </c>
      <c r="T22" s="166">
        <f t="shared" si="12"/>
        <v>5878.9753924593188</v>
      </c>
      <c r="U22" s="215">
        <f t="shared" si="13"/>
        <v>159.15063242784734</v>
      </c>
      <c r="V22" s="140">
        <f t="shared" si="15"/>
        <v>48.969425362414569</v>
      </c>
    </row>
    <row r="23" spans="2:22" x14ac:dyDescent="0.3">
      <c r="B23" s="174" t="s">
        <v>134</v>
      </c>
      <c r="C23" s="211">
        <f>C22+1</f>
        <v>71</v>
      </c>
      <c r="D23" s="209">
        <v>26.5</v>
      </c>
      <c r="F23" s="141">
        <f t="shared" si="5"/>
        <v>4033.4246867133752</v>
      </c>
      <c r="G23" s="189">
        <f t="shared" si="6"/>
        <v>152.2047051589953</v>
      </c>
      <c r="H23" s="166">
        <f t="shared" si="1"/>
        <v>4152.905380263187</v>
      </c>
      <c r="I23" s="215">
        <f t="shared" si="2"/>
        <v>116.39183335687876</v>
      </c>
      <c r="J23" s="140">
        <f t="shared" si="4"/>
        <v>35.812871802116533</v>
      </c>
      <c r="K23" s="190"/>
      <c r="L23" s="141">
        <f t="shared" si="9"/>
        <v>4614.8266759565104</v>
      </c>
      <c r="M23" s="194">
        <f t="shared" si="10"/>
        <v>174.1444028662834</v>
      </c>
      <c r="N23" s="166">
        <f t="shared" si="7"/>
        <v>4751.5300322065432</v>
      </c>
      <c r="O23" s="215">
        <f t="shared" si="8"/>
        <v>133.16924925068733</v>
      </c>
      <c r="P23" s="140">
        <f t="shared" si="11"/>
        <v>40.975153615596071</v>
      </c>
      <c r="Q23" s="190"/>
      <c r="R23" s="141">
        <f t="shared" si="14"/>
        <v>5878.9753924593188</v>
      </c>
      <c r="S23" s="194">
        <f t="shared" si="16"/>
        <v>221.84812801733278</v>
      </c>
      <c r="T23" s="166">
        <f t="shared" si="12"/>
        <v>6053.1261729529251</v>
      </c>
      <c r="U23" s="215">
        <f t="shared" si="13"/>
        <v>169.64856848384272</v>
      </c>
      <c r="V23" s="140">
        <f t="shared" si="15"/>
        <v>52.19955953349006</v>
      </c>
    </row>
    <row r="24" spans="2:22" x14ac:dyDescent="0.3">
      <c r="B24" s="222" t="s">
        <v>70</v>
      </c>
      <c r="C24" s="213">
        <f t="shared" ref="C24:C53" si="17">C23+1</f>
        <v>72</v>
      </c>
      <c r="D24" s="221">
        <v>25.6</v>
      </c>
      <c r="E24" s="101"/>
      <c r="F24" s="170">
        <f t="shared" si="5"/>
        <v>4152.905380263187</v>
      </c>
      <c r="G24" s="195">
        <f t="shared" si="6"/>
        <v>162.22286641653074</v>
      </c>
      <c r="H24" s="172">
        <f t="shared" si="1"/>
        <v>4270.0302898159225</v>
      </c>
      <c r="I24" s="215">
        <f t="shared" si="2"/>
        <v>124.05278020087646</v>
      </c>
      <c r="J24" s="171">
        <f t="shared" si="4"/>
        <v>38.17008621565428</v>
      </c>
      <c r="K24" s="196"/>
      <c r="L24" s="170">
        <f t="shared" si="9"/>
        <v>4751.5300322065432</v>
      </c>
      <c r="M24" s="197">
        <f t="shared" si="10"/>
        <v>185.60664188306808</v>
      </c>
      <c r="N24" s="172">
        <f t="shared" si="7"/>
        <v>4885.5380276461192</v>
      </c>
      <c r="O24" s="215">
        <f t="shared" si="8"/>
        <v>141.93449085175794</v>
      </c>
      <c r="P24" s="171">
        <f t="shared" si="11"/>
        <v>43.672151031310136</v>
      </c>
      <c r="Q24" s="196"/>
      <c r="R24" s="170">
        <f t="shared" si="14"/>
        <v>6053.1261729529251</v>
      </c>
      <c r="S24" s="197">
        <f t="shared" si="16"/>
        <v>236.45024113097364</v>
      </c>
      <c r="T24" s="172">
        <f t="shared" si="12"/>
        <v>6223.8432470494881</v>
      </c>
      <c r="U24" s="215">
        <f t="shared" si="13"/>
        <v>180.81489027662693</v>
      </c>
      <c r="V24" s="171">
        <f t="shared" si="15"/>
        <v>55.635350854346711</v>
      </c>
    </row>
    <row r="25" spans="2:22" x14ac:dyDescent="0.3">
      <c r="C25" s="211">
        <f t="shared" si="17"/>
        <v>73</v>
      </c>
      <c r="D25" s="209">
        <v>24.7</v>
      </c>
      <c r="F25" s="141">
        <f t="shared" si="5"/>
        <v>4270.0302898159225</v>
      </c>
      <c r="G25" s="189">
        <f t="shared" si="6"/>
        <v>172.87572023546247</v>
      </c>
      <c r="H25" s="166">
        <f t="shared" si="1"/>
        <v>4383.9553894510918</v>
      </c>
      <c r="I25" s="215">
        <f t="shared" si="2"/>
        <v>132.19908018005955</v>
      </c>
      <c r="J25" s="140">
        <f t="shared" si="4"/>
        <v>40.676640055402913</v>
      </c>
      <c r="K25" s="190"/>
      <c r="L25" s="141">
        <f t="shared" si="9"/>
        <v>4885.5380276461192</v>
      </c>
      <c r="M25" s="194">
        <f t="shared" si="10"/>
        <v>197.79506184802102</v>
      </c>
      <c r="N25" s="166">
        <f t="shared" si="7"/>
        <v>5015.8849734039659</v>
      </c>
      <c r="O25" s="215">
        <f t="shared" si="8"/>
        <v>151.25504729554549</v>
      </c>
      <c r="P25" s="140">
        <f t="shared" si="11"/>
        <v>46.540014552475526</v>
      </c>
      <c r="Q25" s="190"/>
      <c r="R25" s="141">
        <f t="shared" si="14"/>
        <v>6223.8432470494881</v>
      </c>
      <c r="S25" s="194">
        <f t="shared" si="16"/>
        <v>251.97745939471613</v>
      </c>
      <c r="T25" s="166">
        <f t="shared" si="12"/>
        <v>6389.896392790607</v>
      </c>
      <c r="U25" s="215">
        <f t="shared" si="13"/>
        <v>192.68864541948884</v>
      </c>
      <c r="V25" s="140">
        <f t="shared" si="15"/>
        <v>59.288813975227299</v>
      </c>
    </row>
    <row r="26" spans="2:22" x14ac:dyDescent="0.3">
      <c r="C26" s="211">
        <f t="shared" si="17"/>
        <v>74</v>
      </c>
      <c r="D26" s="209">
        <v>23.8</v>
      </c>
      <c r="F26" s="141">
        <f t="shared" si="5"/>
        <v>4383.9553894510918</v>
      </c>
      <c r="G26" s="189">
        <f t="shared" si="6"/>
        <v>184.19980627945765</v>
      </c>
      <c r="H26" s="166">
        <f t="shared" si="1"/>
        <v>4493.7384739936488</v>
      </c>
      <c r="I26" s="215">
        <f t="shared" si="2"/>
        <v>140.85867539017352</v>
      </c>
      <c r="J26" s="140">
        <f t="shared" si="4"/>
        <v>43.34113088928413</v>
      </c>
      <c r="K26" s="190"/>
      <c r="L26" s="141">
        <f t="shared" si="9"/>
        <v>5015.8849734039659</v>
      </c>
      <c r="M26" s="194">
        <f t="shared" si="10"/>
        <v>210.75146947075487</v>
      </c>
      <c r="N26" s="166">
        <f t="shared" si="7"/>
        <v>5141.4928492085355</v>
      </c>
      <c r="O26" s="215">
        <f t="shared" si="8"/>
        <v>161.16288841881257</v>
      </c>
      <c r="P26" s="140">
        <f t="shared" si="11"/>
        <v>49.588581051942299</v>
      </c>
      <c r="Q26" s="190"/>
      <c r="R26" s="141">
        <f t="shared" si="14"/>
        <v>6389.896392790607</v>
      </c>
      <c r="S26" s="194">
        <f t="shared" si="16"/>
        <v>268.48304171389105</v>
      </c>
      <c r="T26" s="166">
        <f t="shared" si="12"/>
        <v>6549.9122856520862</v>
      </c>
      <c r="U26" s="215">
        <f t="shared" si="13"/>
        <v>205.31056131062257</v>
      </c>
      <c r="V26" s="140">
        <f t="shared" si="15"/>
        <v>63.17248040326848</v>
      </c>
    </row>
    <row r="27" spans="2:22" x14ac:dyDescent="0.3">
      <c r="C27" s="211">
        <f t="shared" si="17"/>
        <v>75</v>
      </c>
      <c r="D27" s="209">
        <v>22.9</v>
      </c>
      <c r="F27" s="141">
        <f t="shared" si="5"/>
        <v>4493.7384739936488</v>
      </c>
      <c r="G27" s="189">
        <f t="shared" si="6"/>
        <v>196.23312113509385</v>
      </c>
      <c r="H27" s="166">
        <f t="shared" si="1"/>
        <v>4598.330727558654</v>
      </c>
      <c r="I27" s="215">
        <f t="shared" si="2"/>
        <v>150.06062204448355</v>
      </c>
      <c r="J27" s="140">
        <f t="shared" si="4"/>
        <v>46.172499090610302</v>
      </c>
      <c r="K27" s="190"/>
      <c r="L27" s="141">
        <f t="shared" si="9"/>
        <v>5141.4928492085355</v>
      </c>
      <c r="M27" s="194">
        <f t="shared" si="10"/>
        <v>224.51933839338585</v>
      </c>
      <c r="N27" s="166">
        <f t="shared" si="7"/>
        <v>5261.1616565722106</v>
      </c>
      <c r="O27" s="215">
        <f t="shared" si="8"/>
        <v>171.69125877141272</v>
      </c>
      <c r="P27" s="140">
        <f t="shared" si="11"/>
        <v>52.828079621973131</v>
      </c>
      <c r="Q27" s="190"/>
      <c r="R27" s="141">
        <f t="shared" si="14"/>
        <v>6549.9122856520862</v>
      </c>
      <c r="S27" s="194">
        <f t="shared" si="16"/>
        <v>286.02237055249287</v>
      </c>
      <c r="T27" s="166">
        <f t="shared" si="12"/>
        <v>6702.3622091565649</v>
      </c>
      <c r="U27" s="215">
        <f t="shared" si="13"/>
        <v>218.72298924602399</v>
      </c>
      <c r="V27" s="140">
        <f t="shared" si="15"/>
        <v>67.299381306468888</v>
      </c>
    </row>
    <row r="28" spans="2:22" x14ac:dyDescent="0.3">
      <c r="C28" s="211">
        <f t="shared" si="17"/>
        <v>76</v>
      </c>
      <c r="D28" s="209">
        <v>22</v>
      </c>
      <c r="F28" s="141">
        <f t="shared" si="5"/>
        <v>4598.330727558654</v>
      </c>
      <c r="G28" s="189">
        <f t="shared" si="6"/>
        <v>209.01503307084792</v>
      </c>
      <c r="H28" s="166">
        <f t="shared" si="1"/>
        <v>4696.5677931019536</v>
      </c>
      <c r="I28" s="215">
        <f t="shared" si="2"/>
        <v>159.83502528947196</v>
      </c>
      <c r="J28" s="140">
        <f t="shared" si="4"/>
        <v>49.180007781375963</v>
      </c>
      <c r="K28" s="190"/>
      <c r="L28" s="141">
        <f t="shared" si="9"/>
        <v>5261.1616565722106</v>
      </c>
      <c r="M28" s="194">
        <f t="shared" si="10"/>
        <v>239.14371166237322</v>
      </c>
      <c r="N28" s="166">
        <f t="shared" si="7"/>
        <v>5373.5592010535265</v>
      </c>
      <c r="O28" s="215">
        <f t="shared" si="8"/>
        <v>182.87460303593247</v>
      </c>
      <c r="P28" s="140">
        <f t="shared" si="11"/>
        <v>56.269108626440755</v>
      </c>
      <c r="Q28" s="190"/>
      <c r="R28" s="141">
        <f t="shared" si="14"/>
        <v>6702.3622091565649</v>
      </c>
      <c r="S28" s="194">
        <f t="shared" si="16"/>
        <v>304.65282768893479</v>
      </c>
      <c r="T28" s="166">
        <f t="shared" si="12"/>
        <v>6845.5490381703648</v>
      </c>
      <c r="U28" s="215">
        <f t="shared" si="13"/>
        <v>232.96980940918544</v>
      </c>
      <c r="V28" s="140">
        <f t="shared" si="15"/>
        <v>71.683018279749348</v>
      </c>
    </row>
    <row r="29" spans="2:22" x14ac:dyDescent="0.3">
      <c r="C29" s="211">
        <f t="shared" si="17"/>
        <v>77</v>
      </c>
      <c r="D29" s="209">
        <v>21.2</v>
      </c>
      <c r="F29" s="141">
        <f t="shared" si="5"/>
        <v>4696.5677931019536</v>
      </c>
      <c r="G29" s="189">
        <f t="shared" si="6"/>
        <v>221.53621665575253</v>
      </c>
      <c r="H29" s="166">
        <f t="shared" si="1"/>
        <v>4788.2837867974358</v>
      </c>
      <c r="I29" s="215">
        <f t="shared" si="2"/>
        <v>169.4100480308696</v>
      </c>
      <c r="J29" s="140">
        <f t="shared" si="4"/>
        <v>52.126168624882922</v>
      </c>
      <c r="K29" s="190"/>
      <c r="L29" s="141">
        <f t="shared" si="9"/>
        <v>5373.5592010535265</v>
      </c>
      <c r="M29" s="194">
        <f t="shared" si="10"/>
        <v>253.46977363460033</v>
      </c>
      <c r="N29" s="166">
        <f t="shared" si="7"/>
        <v>5478.4956873382507</v>
      </c>
      <c r="O29" s="215">
        <f t="shared" si="8"/>
        <v>193.82982689704733</v>
      </c>
      <c r="P29" s="140">
        <f t="shared" si="11"/>
        <v>59.639946737553004</v>
      </c>
      <c r="Q29" s="190"/>
      <c r="R29" s="141">
        <f t="shared" si="14"/>
        <v>6845.5490381703648</v>
      </c>
      <c r="S29" s="194">
        <f t="shared" si="16"/>
        <v>322.90325651747003</v>
      </c>
      <c r="T29" s="166">
        <f t="shared" si="12"/>
        <v>6979.2309863685978</v>
      </c>
      <c r="U29" s="215">
        <f t="shared" si="13"/>
        <v>246.92601968983004</v>
      </c>
      <c r="V29" s="140">
        <f t="shared" si="15"/>
        <v>75.977236827639985</v>
      </c>
    </row>
    <row r="30" spans="2:22" x14ac:dyDescent="0.3">
      <c r="C30" s="211">
        <f t="shared" si="17"/>
        <v>78</v>
      </c>
      <c r="D30" s="209">
        <v>20.3</v>
      </c>
      <c r="F30" s="141">
        <f t="shared" si="5"/>
        <v>4788.2837867974358</v>
      </c>
      <c r="G30" s="189">
        <f t="shared" si="6"/>
        <v>235.87604861071111</v>
      </c>
      <c r="H30" s="166">
        <f t="shared" si="1"/>
        <v>4871.0762798597952</v>
      </c>
      <c r="I30" s="215">
        <f t="shared" si="2"/>
        <v>180.3758018787791</v>
      </c>
      <c r="J30" s="140">
        <f t="shared" si="4"/>
        <v>55.500246731932009</v>
      </c>
      <c r="K30" s="190"/>
      <c r="L30" s="141">
        <f t="shared" si="9"/>
        <v>5478.4956873382507</v>
      </c>
      <c r="M30" s="194">
        <f t="shared" si="10"/>
        <v>269.87663484424877</v>
      </c>
      <c r="N30" s="166">
        <f t="shared" si="7"/>
        <v>5573.2223861685825</v>
      </c>
      <c r="O30" s="215">
        <f t="shared" si="8"/>
        <v>206.37625017501378</v>
      </c>
      <c r="P30" s="140">
        <f t="shared" si="11"/>
        <v>63.50038466923499</v>
      </c>
      <c r="Q30" s="190"/>
      <c r="R30" s="141">
        <f t="shared" si="14"/>
        <v>6979.2309863685978</v>
      </c>
      <c r="S30" s="194">
        <f t="shared" si="16"/>
        <v>343.80448208712301</v>
      </c>
      <c r="T30" s="166">
        <f t="shared" si="12"/>
        <v>7099.9063595811785</v>
      </c>
      <c r="U30" s="215">
        <f t="shared" si="13"/>
        <v>262.90930983132938</v>
      </c>
      <c r="V30" s="140">
        <f t="shared" si="15"/>
        <v>80.895172255793625</v>
      </c>
    </row>
    <row r="31" spans="2:22" x14ac:dyDescent="0.3">
      <c r="C31" s="211">
        <f t="shared" si="17"/>
        <v>79</v>
      </c>
      <c r="D31" s="209">
        <v>19.5</v>
      </c>
      <c r="F31" s="141">
        <f t="shared" si="5"/>
        <v>4871.0762798597952</v>
      </c>
      <c r="G31" s="189">
        <f t="shared" si="6"/>
        <v>249.7987835825536</v>
      </c>
      <c r="H31" s="166">
        <f t="shared" si="1"/>
        <v>4944.7669210166487</v>
      </c>
      <c r="I31" s="215">
        <f t="shared" si="2"/>
        <v>191.02259921018805</v>
      </c>
      <c r="J31" s="140">
        <f t="shared" si="4"/>
        <v>58.776184372365549</v>
      </c>
      <c r="K31" s="190"/>
      <c r="L31" s="141">
        <f t="shared" si="9"/>
        <v>5573.2223861685825</v>
      </c>
      <c r="M31" s="194">
        <f t="shared" si="10"/>
        <v>285.80627621377346</v>
      </c>
      <c r="N31" s="166">
        <f t="shared" si="7"/>
        <v>5657.5352376516457</v>
      </c>
      <c r="O31" s="215">
        <f t="shared" si="8"/>
        <v>218.55774063406207</v>
      </c>
      <c r="P31" s="140">
        <f t="shared" si="11"/>
        <v>67.248535579711387</v>
      </c>
      <c r="Q31" s="190"/>
      <c r="R31" s="141">
        <f t="shared" si="14"/>
        <v>7099.9063595811785</v>
      </c>
      <c r="S31" s="194">
        <f t="shared" si="16"/>
        <v>364.09776202980402</v>
      </c>
      <c r="T31" s="166">
        <f t="shared" si="12"/>
        <v>7207.315199379972</v>
      </c>
      <c r="U31" s="215">
        <f t="shared" si="13"/>
        <v>278.42770037573251</v>
      </c>
      <c r="V31" s="140">
        <f t="shared" si="15"/>
        <v>85.670061654071503</v>
      </c>
    </row>
    <row r="32" spans="2:22" x14ac:dyDescent="0.3">
      <c r="C32" s="211">
        <f t="shared" si="17"/>
        <v>80</v>
      </c>
      <c r="D32" s="209">
        <v>18.7</v>
      </c>
      <c r="F32" s="141">
        <f t="shared" si="5"/>
        <v>4944.7669210166487</v>
      </c>
      <c r="G32" s="189">
        <f t="shared" si="6"/>
        <v>264.42603855704004</v>
      </c>
      <c r="H32" s="166">
        <f t="shared" si="1"/>
        <v>5007.9647442317819</v>
      </c>
      <c r="I32" s="215">
        <f t="shared" si="2"/>
        <v>202.20814713185416</v>
      </c>
      <c r="J32" s="140">
        <f t="shared" si="4"/>
        <v>62.217891425185883</v>
      </c>
      <c r="K32" s="190"/>
      <c r="L32" s="141">
        <f t="shared" si="9"/>
        <v>5657.5352376516457</v>
      </c>
      <c r="M32" s="194">
        <f t="shared" si="10"/>
        <v>302.54199131826982</v>
      </c>
      <c r="N32" s="166">
        <f t="shared" si="7"/>
        <v>5729.8427735767127</v>
      </c>
      <c r="O32" s="215">
        <f t="shared" si="8"/>
        <v>231.35564041985342</v>
      </c>
      <c r="P32" s="140">
        <f t="shared" si="11"/>
        <v>71.186350898416407</v>
      </c>
      <c r="Q32" s="190"/>
      <c r="R32" s="141">
        <f t="shared" si="14"/>
        <v>7207.315199379972</v>
      </c>
      <c r="S32" s="194">
        <f t="shared" si="16"/>
        <v>385.4179251005333</v>
      </c>
      <c r="T32" s="166">
        <f t="shared" si="12"/>
        <v>7299.4300834789992</v>
      </c>
      <c r="U32" s="215">
        <f t="shared" si="13"/>
        <v>294.73135448864315</v>
      </c>
      <c r="V32" s="140">
        <f t="shared" si="15"/>
        <v>90.686570611890147</v>
      </c>
    </row>
    <row r="33" spans="3:22" x14ac:dyDescent="0.3">
      <c r="C33" s="211">
        <f t="shared" si="17"/>
        <v>81</v>
      </c>
      <c r="D33" s="209">
        <v>17.899999999999999</v>
      </c>
      <c r="F33" s="141">
        <f t="shared" si="5"/>
        <v>5007.9647442317819</v>
      </c>
      <c r="G33" s="189">
        <f t="shared" si="6"/>
        <v>279.77456671685934</v>
      </c>
      <c r="H33" s="166">
        <f t="shared" si="1"/>
        <v>5059.1634899409673</v>
      </c>
      <c r="I33" s="215">
        <f t="shared" si="2"/>
        <v>213.94525690112775</v>
      </c>
      <c r="J33" s="140">
        <f t="shared" si="4"/>
        <v>65.829309815731591</v>
      </c>
      <c r="K33" s="190"/>
      <c r="L33" s="141">
        <f t="shared" si="9"/>
        <v>5729.8427735767127</v>
      </c>
      <c r="M33" s="194">
        <f t="shared" si="10"/>
        <v>320.10294824450909</v>
      </c>
      <c r="N33" s="166">
        <f t="shared" si="7"/>
        <v>5788.4216131054582</v>
      </c>
      <c r="O33" s="215">
        <f t="shared" si="8"/>
        <v>244.78460748109521</v>
      </c>
      <c r="P33" s="140">
        <f t="shared" si="11"/>
        <v>75.318340763413886</v>
      </c>
      <c r="Q33" s="190"/>
      <c r="R33" s="141">
        <f t="shared" si="14"/>
        <v>7299.4300834789992</v>
      </c>
      <c r="S33" s="194">
        <f t="shared" si="16"/>
        <v>407.78939013849163</v>
      </c>
      <c r="T33" s="166">
        <f t="shared" si="12"/>
        <v>7374.0555418743434</v>
      </c>
      <c r="U33" s="215">
        <f t="shared" si="13"/>
        <v>311.83894540002302</v>
      </c>
      <c r="V33" s="140">
        <f t="shared" si="15"/>
        <v>95.950444738468605</v>
      </c>
    </row>
    <row r="34" spans="3:22" x14ac:dyDescent="0.3">
      <c r="C34" s="211">
        <f t="shared" si="17"/>
        <v>82</v>
      </c>
      <c r="D34" s="209">
        <v>17.099999999999998</v>
      </c>
      <c r="F34" s="141">
        <f t="shared" si="5"/>
        <v>5059.1634899409673</v>
      </c>
      <c r="G34" s="189">
        <f t="shared" si="6"/>
        <v>295.85751403163556</v>
      </c>
      <c r="H34" s="166">
        <f t="shared" si="1"/>
        <v>5096.737394222986</v>
      </c>
      <c r="I34" s="215">
        <f t="shared" si="2"/>
        <v>226.24398131830955</v>
      </c>
      <c r="J34" s="140">
        <f t="shared" si="4"/>
        <v>69.613532713326009</v>
      </c>
      <c r="K34" s="190"/>
      <c r="L34" s="141">
        <f t="shared" si="9"/>
        <v>5788.4216131054582</v>
      </c>
      <c r="M34" s="194">
        <f t="shared" si="10"/>
        <v>338.50418790090401</v>
      </c>
      <c r="N34" s="166">
        <f t="shared" si="7"/>
        <v>5831.4116449688736</v>
      </c>
      <c r="O34" s="215">
        <f t="shared" si="8"/>
        <v>258.85614368892664</v>
      </c>
      <c r="P34" s="140">
        <f t="shared" si="11"/>
        <v>79.648044211977378</v>
      </c>
      <c r="Q34" s="190"/>
      <c r="R34" s="141">
        <f t="shared" si="14"/>
        <v>7374.0555418743434</v>
      </c>
      <c r="S34" s="194">
        <f t="shared" si="16"/>
        <v>431.23131823826577</v>
      </c>
      <c r="T34" s="166">
        <f t="shared" si="12"/>
        <v>7428.8219192906035</v>
      </c>
      <c r="U34" s="215">
        <f t="shared" si="13"/>
        <v>329.76512571161504</v>
      </c>
      <c r="V34" s="140">
        <f t="shared" si="15"/>
        <v>101.46619252665073</v>
      </c>
    </row>
    <row r="35" spans="3:22" x14ac:dyDescent="0.3">
      <c r="C35" s="211">
        <f t="shared" si="17"/>
        <v>83</v>
      </c>
      <c r="D35" s="209">
        <v>16.299999999999997</v>
      </c>
      <c r="F35" s="141">
        <f t="shared" si="5"/>
        <v>5096.737394222986</v>
      </c>
      <c r="G35" s="189">
        <f t="shared" si="6"/>
        <v>312.68327571920167</v>
      </c>
      <c r="H35" s="166">
        <f t="shared" si="1"/>
        <v>5118.9379067990494</v>
      </c>
      <c r="I35" s="215">
        <f t="shared" si="2"/>
        <v>239.11074025586012</v>
      </c>
      <c r="J35" s="140">
        <f t="shared" si="4"/>
        <v>73.572535463341552</v>
      </c>
      <c r="K35" s="190"/>
      <c r="L35" s="141">
        <f t="shared" si="9"/>
        <v>5831.4116449688736</v>
      </c>
      <c r="M35" s="194">
        <f t="shared" si="10"/>
        <v>357.75531564226225</v>
      </c>
      <c r="N35" s="166">
        <f t="shared" si="7"/>
        <v>5856.812272379475</v>
      </c>
      <c r="O35" s="215">
        <f t="shared" si="8"/>
        <v>273.57759431467116</v>
      </c>
      <c r="P35" s="140">
        <f t="shared" si="11"/>
        <v>84.177721327591087</v>
      </c>
      <c r="Q35" s="190"/>
      <c r="R35" s="141">
        <f t="shared" si="14"/>
        <v>7428.8219192906035</v>
      </c>
      <c r="S35" s="194">
        <f t="shared" si="16"/>
        <v>455.75594596874879</v>
      </c>
      <c r="T35" s="166">
        <f t="shared" si="12"/>
        <v>7461.1805914543847</v>
      </c>
      <c r="U35" s="215">
        <f t="shared" si="13"/>
        <v>348.51925279963143</v>
      </c>
      <c r="V35" s="140">
        <f t="shared" si="15"/>
        <v>107.23669316911736</v>
      </c>
    </row>
    <row r="36" spans="3:22" x14ac:dyDescent="0.3">
      <c r="C36" s="211">
        <f t="shared" si="17"/>
        <v>84</v>
      </c>
      <c r="D36" s="209">
        <v>15.499999999999996</v>
      </c>
      <c r="F36" s="141">
        <f t="shared" si="5"/>
        <v>5118.9379067990494</v>
      </c>
      <c r="G36" s="189">
        <f t="shared" si="6"/>
        <v>330.25405850316457</v>
      </c>
      <c r="H36" s="166">
        <f t="shared" si="1"/>
        <v>5123.8917176765972</v>
      </c>
      <c r="I36" s="215">
        <f t="shared" si="2"/>
        <v>252.54722120830235</v>
      </c>
      <c r="J36" s="140">
        <f t="shared" si="4"/>
        <v>77.706837294862225</v>
      </c>
      <c r="K36" s="190"/>
      <c r="L36" s="141">
        <f t="shared" si="9"/>
        <v>5856.812272379475</v>
      </c>
      <c r="M36" s="194">
        <f t="shared" si="10"/>
        <v>377.85885628254687</v>
      </c>
      <c r="N36" s="166">
        <f t="shared" si="7"/>
        <v>5862.4801552237132</v>
      </c>
      <c r="O36" s="215">
        <f t="shared" si="8"/>
        <v>288.9508900984182</v>
      </c>
      <c r="P36" s="140">
        <f t="shared" si="11"/>
        <v>88.907966184128668</v>
      </c>
      <c r="Q36" s="190"/>
      <c r="R36" s="141">
        <f t="shared" si="14"/>
        <v>7461.1805914543847</v>
      </c>
      <c r="S36" s="194">
        <f t="shared" si="16"/>
        <v>481.36648977125071</v>
      </c>
      <c r="T36" s="166">
        <f t="shared" si="12"/>
        <v>7468.4010888009543</v>
      </c>
      <c r="U36" s="215">
        <f t="shared" si="13"/>
        <v>368.10378629566236</v>
      </c>
      <c r="V36" s="140">
        <f t="shared" si="15"/>
        <v>113.26270347558835</v>
      </c>
    </row>
    <row r="37" spans="3:22" x14ac:dyDescent="0.3">
      <c r="C37" s="211">
        <f t="shared" si="17"/>
        <v>85</v>
      </c>
      <c r="D37" s="209">
        <v>14.8</v>
      </c>
      <c r="F37" s="141">
        <f t="shared" si="5"/>
        <v>5123.8917176765972</v>
      </c>
      <c r="G37" s="189">
        <f t="shared" si="6"/>
        <v>346.20889984301328</v>
      </c>
      <c r="H37" s="166">
        <f t="shared" si="1"/>
        <v>5112.1206150819344</v>
      </c>
      <c r="I37" s="215">
        <f t="shared" si="2"/>
        <v>264.74798223289253</v>
      </c>
      <c r="J37" s="140">
        <f t="shared" si="4"/>
        <v>81.460917610120759</v>
      </c>
      <c r="K37" s="190"/>
      <c r="L37" s="141">
        <f t="shared" si="9"/>
        <v>5862.4801552237132</v>
      </c>
      <c r="M37" s="194">
        <f t="shared" si="10"/>
        <v>396.11352400160223</v>
      </c>
      <c r="N37" s="166">
        <f t="shared" si="7"/>
        <v>5849.0122954076596</v>
      </c>
      <c r="O37" s="215">
        <f t="shared" si="8"/>
        <v>302.91034188357821</v>
      </c>
      <c r="P37" s="140">
        <f t="shared" si="11"/>
        <v>93.203182118024017</v>
      </c>
      <c r="Q37" s="190"/>
      <c r="R37" s="141">
        <f t="shared" si="14"/>
        <v>7468.4010888009543</v>
      </c>
      <c r="S37" s="194">
        <f t="shared" si="16"/>
        <v>504.62169518925367</v>
      </c>
      <c r="T37" s="166">
        <f t="shared" si="12"/>
        <v>7451.2439511645198</v>
      </c>
      <c r="U37" s="215">
        <f t="shared" si="13"/>
        <v>385.88717867413521</v>
      </c>
      <c r="V37" s="140">
        <f t="shared" si="15"/>
        <v>118.73451651511846</v>
      </c>
    </row>
    <row r="38" spans="3:22" x14ac:dyDescent="0.3">
      <c r="C38" s="211">
        <f t="shared" si="17"/>
        <v>86</v>
      </c>
      <c r="D38" s="209">
        <v>14.1</v>
      </c>
      <c r="F38" s="141">
        <f t="shared" si="5"/>
        <v>5112.1206150819344</v>
      </c>
      <c r="G38" s="189">
        <f t="shared" si="6"/>
        <v>362.56174575049181</v>
      </c>
      <c r="H38" s="166">
        <f t="shared" si="1"/>
        <v>5082.0279901846434</v>
      </c>
      <c r="I38" s="215">
        <f t="shared" si="2"/>
        <v>277.25309969155256</v>
      </c>
      <c r="J38" s="140">
        <f t="shared" si="4"/>
        <v>85.308646058939246</v>
      </c>
      <c r="K38" s="190"/>
      <c r="L38" s="141">
        <f t="shared" si="9"/>
        <v>5849.0122954076596</v>
      </c>
      <c r="M38" s="194">
        <f t="shared" si="10"/>
        <v>414.82356705018861</v>
      </c>
      <c r="N38" s="166">
        <f t="shared" si="7"/>
        <v>5814.5819393424936</v>
      </c>
      <c r="O38" s="215">
        <f t="shared" si="8"/>
        <v>317.21802186190894</v>
      </c>
      <c r="P38" s="140">
        <f t="shared" si="11"/>
        <v>97.605545188279677</v>
      </c>
      <c r="Q38" s="190"/>
      <c r="R38" s="141">
        <f t="shared" si="14"/>
        <v>7451.2439511645198</v>
      </c>
      <c r="S38" s="194">
        <f t="shared" si="16"/>
        <v>528.45701781308651</v>
      </c>
      <c r="T38" s="166">
        <f t="shared" si="12"/>
        <v>7407.3820186860348</v>
      </c>
      <c r="U38" s="215">
        <f t="shared" si="13"/>
        <v>404.11419009236027</v>
      </c>
      <c r="V38" s="140">
        <f t="shared" si="15"/>
        <v>124.34282772072623</v>
      </c>
    </row>
    <row r="39" spans="3:22" x14ac:dyDescent="0.3">
      <c r="C39" s="211">
        <f t="shared" si="17"/>
        <v>87</v>
      </c>
      <c r="D39" s="209">
        <v>13.4</v>
      </c>
      <c r="F39" s="141">
        <f t="shared" si="5"/>
        <v>5082.0279901846434</v>
      </c>
      <c r="G39" s="189">
        <f t="shared" si="6"/>
        <v>379.25582016303309</v>
      </c>
      <c r="H39" s="166">
        <f t="shared" si="1"/>
        <v>5031.9662219231241</v>
      </c>
      <c r="I39" s="215">
        <f t="shared" si="2"/>
        <v>290.0191565952606</v>
      </c>
      <c r="J39" s="140">
        <f t="shared" si="4"/>
        <v>89.236663567772496</v>
      </c>
      <c r="K39" s="190"/>
      <c r="L39" s="141">
        <f t="shared" si="9"/>
        <v>5814.5819393424936</v>
      </c>
      <c r="M39" s="194">
        <f t="shared" si="10"/>
        <v>433.92402532406669</v>
      </c>
      <c r="N39" s="166">
        <f t="shared" si="7"/>
        <v>5757.3039679997173</v>
      </c>
      <c r="O39" s="215">
        <f t="shared" si="8"/>
        <v>331.82425465958045</v>
      </c>
      <c r="P39" s="140">
        <f t="shared" si="11"/>
        <v>102.09977066448624</v>
      </c>
      <c r="Q39" s="190"/>
      <c r="R39" s="141">
        <f t="shared" si="14"/>
        <v>7407.3820186860348</v>
      </c>
      <c r="S39" s="194">
        <f t="shared" si="16"/>
        <v>552.78970288701748</v>
      </c>
      <c r="T39" s="166">
        <f t="shared" si="12"/>
        <v>7334.4137779049488</v>
      </c>
      <c r="U39" s="215">
        <f t="shared" si="13"/>
        <v>422.72153750183691</v>
      </c>
      <c r="V39" s="140">
        <f t="shared" si="15"/>
        <v>130.06816538518058</v>
      </c>
    </row>
    <row r="40" spans="3:22" x14ac:dyDescent="0.3">
      <c r="C40" s="211">
        <f t="shared" si="17"/>
        <v>88</v>
      </c>
      <c r="D40" s="209">
        <v>12.700000000000001</v>
      </c>
      <c r="F40" s="141">
        <f t="shared" si="5"/>
        <v>5031.9662219231241</v>
      </c>
      <c r="G40" s="189">
        <f t="shared" si="6"/>
        <v>396.21781274985227</v>
      </c>
      <c r="H40" s="166">
        <f t="shared" si="1"/>
        <v>4960.2507978154017</v>
      </c>
      <c r="I40" s="215">
        <f t="shared" si="2"/>
        <v>302.99009210282821</v>
      </c>
      <c r="J40" s="140">
        <f t="shared" si="4"/>
        <v>93.227720647024057</v>
      </c>
      <c r="K40" s="190"/>
      <c r="L40" s="141">
        <f t="shared" si="9"/>
        <v>5757.3039679997173</v>
      </c>
      <c r="M40" s="194">
        <f t="shared" si="10"/>
        <v>453.33102110233989</v>
      </c>
      <c r="N40" s="166">
        <f t="shared" si="7"/>
        <v>5675.2510531801945</v>
      </c>
      <c r="O40" s="215">
        <f t="shared" si="8"/>
        <v>346.66489849002465</v>
      </c>
      <c r="P40" s="140">
        <f t="shared" si="11"/>
        <v>106.66612261231523</v>
      </c>
      <c r="Q40" s="190"/>
      <c r="R40" s="141">
        <f t="shared" si="14"/>
        <v>7334.4137779049488</v>
      </c>
      <c r="S40" s="194">
        <f t="shared" si="16"/>
        <v>577.51289589802741</v>
      </c>
      <c r="T40" s="166">
        <f t="shared" si="12"/>
        <v>7229.8839437474062</v>
      </c>
      <c r="U40" s="215">
        <f t="shared" si="13"/>
        <v>441.62750862790335</v>
      </c>
      <c r="V40" s="140">
        <f t="shared" si="15"/>
        <v>135.88538727012406</v>
      </c>
    </row>
    <row r="41" spans="3:22" x14ac:dyDescent="0.3">
      <c r="C41" s="211">
        <f t="shared" si="17"/>
        <v>89</v>
      </c>
      <c r="D41" s="209">
        <v>12.000000000000002</v>
      </c>
      <c r="F41" s="141">
        <f t="shared" si="5"/>
        <v>4960.2507978154017</v>
      </c>
      <c r="G41" s="189">
        <f t="shared" si="6"/>
        <v>413.35423315128344</v>
      </c>
      <c r="H41" s="166">
        <f t="shared" si="1"/>
        <v>4865.1793241906071</v>
      </c>
      <c r="I41" s="215">
        <f t="shared" si="2"/>
        <v>316.09441358627561</v>
      </c>
      <c r="J41" s="140">
        <f t="shared" si="4"/>
        <v>97.259819565007831</v>
      </c>
      <c r="K41" s="190"/>
      <c r="L41" s="141">
        <f t="shared" si="9"/>
        <v>5675.2510531801945</v>
      </c>
      <c r="M41" s="194">
        <f t="shared" si="10"/>
        <v>472.93758776501613</v>
      </c>
      <c r="N41" s="166">
        <f t="shared" si="7"/>
        <v>5566.4754079942413</v>
      </c>
      <c r="O41" s="215">
        <f t="shared" si="8"/>
        <v>361.65815534971824</v>
      </c>
      <c r="P41" s="140">
        <f t="shared" si="11"/>
        <v>111.27943241529789</v>
      </c>
      <c r="Q41" s="190"/>
      <c r="R41" s="141">
        <f t="shared" si="14"/>
        <v>7229.8839437474062</v>
      </c>
      <c r="S41" s="194">
        <f t="shared" si="16"/>
        <v>602.49032864561707</v>
      </c>
      <c r="T41" s="166">
        <f t="shared" si="12"/>
        <v>7091.3111681589144</v>
      </c>
      <c r="U41" s="215">
        <f t="shared" si="13"/>
        <v>460.72789837606012</v>
      </c>
      <c r="V41" s="140">
        <f t="shared" si="15"/>
        <v>141.76243026955694</v>
      </c>
    </row>
    <row r="42" spans="3:22" x14ac:dyDescent="0.3">
      <c r="C42" s="211">
        <f t="shared" si="17"/>
        <v>90</v>
      </c>
      <c r="D42" s="209">
        <v>11.400000000000002</v>
      </c>
      <c r="F42" s="141">
        <f t="shared" si="5"/>
        <v>4865.1793241906071</v>
      </c>
      <c r="G42" s="189">
        <f t="shared" si="6"/>
        <v>426.77011615707073</v>
      </c>
      <c r="H42" s="166">
        <f t="shared" si="1"/>
        <v>4749.0978525958844</v>
      </c>
      <c r="I42" s="215">
        <f t="shared" si="2"/>
        <v>326.35361823775997</v>
      </c>
      <c r="J42" s="140">
        <f t="shared" si="4"/>
        <v>100.41649791931076</v>
      </c>
      <c r="K42" s="190"/>
      <c r="L42" s="141">
        <f t="shared" si="9"/>
        <v>5566.4754079942413</v>
      </c>
      <c r="M42" s="194">
        <f t="shared" si="10"/>
        <v>488.28731649072284</v>
      </c>
      <c r="N42" s="166">
        <f t="shared" si="7"/>
        <v>5433.661257908765</v>
      </c>
      <c r="O42" s="215">
        <f t="shared" si="8"/>
        <v>373.39618319878809</v>
      </c>
      <c r="P42" s="140">
        <f t="shared" si="11"/>
        <v>114.89113329193475</v>
      </c>
      <c r="Q42" s="190"/>
      <c r="R42" s="141">
        <f t="shared" si="14"/>
        <v>7091.3111681589144</v>
      </c>
      <c r="S42" s="194">
        <f t="shared" si="16"/>
        <v>622.04483931218533</v>
      </c>
      <c r="T42" s="166">
        <f t="shared" si="12"/>
        <v>6922.1149718660008</v>
      </c>
      <c r="U42" s="215">
        <f t="shared" si="13"/>
        <v>475.68134770931823</v>
      </c>
      <c r="V42" s="140">
        <f t="shared" si="15"/>
        <v>146.3634916028671</v>
      </c>
    </row>
    <row r="43" spans="3:22" x14ac:dyDescent="0.3">
      <c r="C43" s="211">
        <f t="shared" si="17"/>
        <v>91</v>
      </c>
      <c r="D43" s="209">
        <v>10.800000000000002</v>
      </c>
      <c r="F43" s="141">
        <f t="shared" si="5"/>
        <v>4749.0978525958844</v>
      </c>
      <c r="G43" s="189">
        <f t="shared" si="6"/>
        <v>439.73128264776699</v>
      </c>
      <c r="H43" s="166">
        <f t="shared" si="1"/>
        <v>4611.022229844486</v>
      </c>
      <c r="I43" s="215">
        <f t="shared" si="2"/>
        <v>336.26509849535125</v>
      </c>
      <c r="J43" s="140">
        <f t="shared" si="4"/>
        <v>103.46618415241574</v>
      </c>
      <c r="K43" s="190"/>
      <c r="L43" s="141">
        <f t="shared" si="9"/>
        <v>5433.661257908765</v>
      </c>
      <c r="M43" s="194">
        <f t="shared" si="10"/>
        <v>503.11678313970037</v>
      </c>
      <c r="N43" s="166">
        <f t="shared" si="7"/>
        <v>5275.6825880028991</v>
      </c>
      <c r="O43" s="215">
        <f t="shared" si="8"/>
        <v>384.73636357741799</v>
      </c>
      <c r="P43" s="140">
        <f t="shared" si="11"/>
        <v>118.38041956228238</v>
      </c>
      <c r="Q43" s="190"/>
      <c r="R43" s="141">
        <f t="shared" si="14"/>
        <v>6922.1149718660008</v>
      </c>
      <c r="S43" s="194">
        <f t="shared" si="16"/>
        <v>640.93657146907401</v>
      </c>
      <c r="T43" s="166">
        <f t="shared" si="12"/>
        <v>6720.8608884247124</v>
      </c>
      <c r="U43" s="215">
        <f t="shared" si="13"/>
        <v>490.1279664175272</v>
      </c>
      <c r="V43" s="140">
        <f t="shared" si="15"/>
        <v>150.80860505154681</v>
      </c>
    </row>
    <row r="44" spans="3:22" x14ac:dyDescent="0.3">
      <c r="C44" s="211">
        <f t="shared" si="17"/>
        <v>92</v>
      </c>
      <c r="D44" s="209">
        <v>10.200000000000003</v>
      </c>
      <c r="F44" s="141">
        <f t="shared" si="5"/>
        <v>4611.022229844486</v>
      </c>
      <c r="G44" s="189">
        <f t="shared" si="6"/>
        <v>452.06100292592987</v>
      </c>
      <c r="H44" s="166">
        <f t="shared" si="1"/>
        <v>4450.0885128028558</v>
      </c>
      <c r="I44" s="215">
        <f t="shared" si="2"/>
        <v>345.69370811982873</v>
      </c>
      <c r="J44" s="140">
        <f t="shared" si="4"/>
        <v>106.36729480610114</v>
      </c>
      <c r="K44" s="190"/>
      <c r="L44" s="141">
        <f t="shared" si="9"/>
        <v>5275.6825880028991</v>
      </c>
      <c r="M44" s="194">
        <f t="shared" si="10"/>
        <v>517.22378313753893</v>
      </c>
      <c r="N44" s="166">
        <f t="shared" si="7"/>
        <v>5091.550921205936</v>
      </c>
      <c r="O44" s="215">
        <f t="shared" si="8"/>
        <v>395.52406945811805</v>
      </c>
      <c r="P44" s="140">
        <f t="shared" si="11"/>
        <v>121.69971367942088</v>
      </c>
      <c r="Q44" s="190"/>
      <c r="R44" s="141">
        <f t="shared" si="14"/>
        <v>6720.8608884247124</v>
      </c>
      <c r="S44" s="194">
        <f t="shared" si="16"/>
        <v>658.90793023771676</v>
      </c>
      <c r="T44" s="166">
        <f t="shared" si="12"/>
        <v>6486.2896652600857</v>
      </c>
      <c r="U44" s="215">
        <f t="shared" si="13"/>
        <v>503.87077018178343</v>
      </c>
      <c r="V44" s="140">
        <f t="shared" si="15"/>
        <v>155.03716005593333</v>
      </c>
    </row>
    <row r="45" spans="3:22" x14ac:dyDescent="0.3">
      <c r="C45" s="211">
        <f t="shared" si="17"/>
        <v>93</v>
      </c>
      <c r="D45" s="209">
        <v>9.6000000000000032</v>
      </c>
      <c r="F45" s="141">
        <f t="shared" si="5"/>
        <v>4450.0885128028558</v>
      </c>
      <c r="G45" s="189">
        <f t="shared" si="6"/>
        <v>463.55088675029731</v>
      </c>
      <c r="H45" s="166">
        <f t="shared" si="1"/>
        <v>4265.5952598762378</v>
      </c>
      <c r="I45" s="215">
        <f t="shared" si="2"/>
        <v>354.48008986787443</v>
      </c>
      <c r="J45" s="140">
        <f t="shared" si="4"/>
        <v>109.07079688242288</v>
      </c>
      <c r="K45" s="190"/>
      <c r="L45" s="141">
        <f t="shared" si="9"/>
        <v>5091.550921205936</v>
      </c>
      <c r="M45" s="194">
        <f t="shared" si="10"/>
        <v>530.36988762561816</v>
      </c>
      <c r="N45" s="166">
        <f t="shared" si="7"/>
        <v>4880.4637059309398</v>
      </c>
      <c r="O45" s="215">
        <f t="shared" si="8"/>
        <v>405.57697289017864</v>
      </c>
      <c r="P45" s="140">
        <f t="shared" si="11"/>
        <v>124.79291473543952</v>
      </c>
      <c r="Q45" s="190"/>
      <c r="R45" s="141">
        <f t="shared" si="14"/>
        <v>6486.2896652600857</v>
      </c>
      <c r="S45" s="194">
        <f t="shared" si="16"/>
        <v>675.65517346459205</v>
      </c>
      <c r="T45" s="166">
        <f t="shared" si="12"/>
        <v>6217.378906221179</v>
      </c>
      <c r="U45" s="215">
        <f t="shared" si="13"/>
        <v>516.67748559057043</v>
      </c>
      <c r="V45" s="140">
        <f t="shared" si="15"/>
        <v>158.97768787402163</v>
      </c>
    </row>
    <row r="46" spans="3:22" x14ac:dyDescent="0.3">
      <c r="C46" s="211">
        <f t="shared" si="17"/>
        <v>94</v>
      </c>
      <c r="D46" s="209">
        <v>9.1000000000000032</v>
      </c>
      <c r="F46" s="141">
        <f t="shared" si="5"/>
        <v>4265.5952598762378</v>
      </c>
      <c r="G46" s="189">
        <f t="shared" si="6"/>
        <v>468.74673185453145</v>
      </c>
      <c r="H46" s="166">
        <f t="shared" si="1"/>
        <v>4062.627924983226</v>
      </c>
      <c r="I46" s="215">
        <f t="shared" si="2"/>
        <v>358.45338318287702</v>
      </c>
      <c r="J46" s="140">
        <f t="shared" si="4"/>
        <v>110.29334867165443</v>
      </c>
      <c r="K46" s="190"/>
      <c r="L46" s="141">
        <f t="shared" si="9"/>
        <v>4880.4637059309398</v>
      </c>
      <c r="M46" s="194">
        <f t="shared" si="10"/>
        <v>536.31469295944373</v>
      </c>
      <c r="N46" s="166">
        <f t="shared" si="7"/>
        <v>4648.2394438795009</v>
      </c>
      <c r="O46" s="215">
        <f t="shared" si="8"/>
        <v>410.1230004983982</v>
      </c>
      <c r="P46" s="140">
        <f t="shared" si="11"/>
        <v>126.19169246104553</v>
      </c>
      <c r="Q46" s="190"/>
      <c r="R46" s="141">
        <f t="shared" si="14"/>
        <v>6217.378906221179</v>
      </c>
      <c r="S46" s="194">
        <f t="shared" si="16"/>
        <v>683.22845123309639</v>
      </c>
      <c r="T46" s="166">
        <f t="shared" si="12"/>
        <v>5921.540986837249</v>
      </c>
      <c r="U46" s="215">
        <f t="shared" si="13"/>
        <v>522.46881564883847</v>
      </c>
      <c r="V46" s="140">
        <f t="shared" si="15"/>
        <v>160.75963558425792</v>
      </c>
    </row>
    <row r="47" spans="3:22" x14ac:dyDescent="0.3">
      <c r="C47" s="211">
        <f t="shared" si="17"/>
        <v>95</v>
      </c>
      <c r="D47" s="209">
        <v>8.6000000000000032</v>
      </c>
      <c r="F47" s="141">
        <f t="shared" si="5"/>
        <v>4062.627924983226</v>
      </c>
      <c r="G47" s="189">
        <f t="shared" si="6"/>
        <v>472.39859592828191</v>
      </c>
      <c r="H47" s="166">
        <f t="shared" si="1"/>
        <v>3841.5453820887906</v>
      </c>
      <c r="I47" s="215">
        <f t="shared" si="2"/>
        <v>361.24598512162737</v>
      </c>
      <c r="J47" s="140">
        <f t="shared" si="4"/>
        <v>111.15261080665454</v>
      </c>
      <c r="K47" s="190"/>
      <c r="L47" s="141">
        <f t="shared" si="9"/>
        <v>4648.2394438795009</v>
      </c>
      <c r="M47" s="194">
        <f t="shared" si="10"/>
        <v>540.49295859063943</v>
      </c>
      <c r="N47" s="166">
        <f t="shared" si="7"/>
        <v>4395.2887392590819</v>
      </c>
      <c r="O47" s="215">
        <f t="shared" si="8"/>
        <v>413.31814480460667</v>
      </c>
      <c r="P47" s="140">
        <f t="shared" si="11"/>
        <v>127.17481378603276</v>
      </c>
      <c r="Q47" s="190"/>
      <c r="R47" s="141">
        <f t="shared" si="14"/>
        <v>5921.540986837249</v>
      </c>
      <c r="S47" s="194">
        <f t="shared" si="16"/>
        <v>688.55127753921477</v>
      </c>
      <c r="T47" s="166">
        <f t="shared" si="12"/>
        <v>5599.2989889488972</v>
      </c>
      <c r="U47" s="215">
        <f t="shared" si="13"/>
        <v>526.5392122358702</v>
      </c>
      <c r="V47" s="140">
        <f t="shared" si="15"/>
        <v>162.01206530334457</v>
      </c>
    </row>
    <row r="48" spans="3:22" x14ac:dyDescent="0.3">
      <c r="C48" s="211">
        <f t="shared" si="17"/>
        <v>96</v>
      </c>
      <c r="D48" s="209">
        <v>8.1000000000000032</v>
      </c>
      <c r="F48" s="141">
        <f t="shared" si="5"/>
        <v>3841.5453820887906</v>
      </c>
      <c r="G48" s="189">
        <f t="shared" si="6"/>
        <v>474.26486198627026</v>
      </c>
      <c r="H48" s="166">
        <f t="shared" si="1"/>
        <v>3602.990156509697</v>
      </c>
      <c r="I48" s="215">
        <f t="shared" si="2"/>
        <v>362.67312975420668</v>
      </c>
      <c r="J48" s="140">
        <f t="shared" si="4"/>
        <v>111.59173223206358</v>
      </c>
      <c r="K48" s="190"/>
      <c r="L48" s="141">
        <f t="shared" si="9"/>
        <v>4395.2887392590819</v>
      </c>
      <c r="M48" s="194">
        <f t="shared" si="10"/>
        <v>542.62823941470128</v>
      </c>
      <c r="N48" s="166">
        <f t="shared" si="7"/>
        <v>4122.346734833488</v>
      </c>
      <c r="O48" s="215">
        <f t="shared" si="8"/>
        <v>414.95100661124218</v>
      </c>
      <c r="P48" s="140">
        <f t="shared" si="11"/>
        <v>127.67723280345911</v>
      </c>
      <c r="Q48" s="190"/>
      <c r="R48" s="141">
        <f t="shared" si="14"/>
        <v>5599.2989889488972</v>
      </c>
      <c r="S48" s="194">
        <f t="shared" si="16"/>
        <v>691.27148011714758</v>
      </c>
      <c r="T48" s="166">
        <f t="shared" si="12"/>
        <v>5251.589434449972</v>
      </c>
      <c r="U48" s="215">
        <f t="shared" si="13"/>
        <v>528.61936714840704</v>
      </c>
      <c r="V48" s="140">
        <f t="shared" si="15"/>
        <v>162.65211296874054</v>
      </c>
    </row>
    <row r="49" spans="3:22" x14ac:dyDescent="0.3">
      <c r="C49" s="211">
        <f t="shared" si="17"/>
        <v>97</v>
      </c>
      <c r="D49" s="209">
        <v>7.6000000000000032</v>
      </c>
      <c r="F49" s="141">
        <f t="shared" si="5"/>
        <v>3602.990156509697</v>
      </c>
      <c r="G49" s="189">
        <f t="shared" si="6"/>
        <v>474.07765217232838</v>
      </c>
      <c r="H49" s="166">
        <f t="shared" si="1"/>
        <v>3347.9363796409848</v>
      </c>
      <c r="I49" s="215">
        <f t="shared" si="2"/>
        <v>362.52996930825117</v>
      </c>
      <c r="J49" s="140">
        <f t="shared" si="4"/>
        <v>111.54768286407722</v>
      </c>
      <c r="K49" s="190"/>
      <c r="L49" s="141">
        <f t="shared" si="9"/>
        <v>4122.346734833488</v>
      </c>
      <c r="M49" s="194">
        <f t="shared" si="10"/>
        <v>542.4140440570377</v>
      </c>
      <c r="N49" s="166">
        <f t="shared" si="7"/>
        <v>3830.5279791308021</v>
      </c>
      <c r="O49" s="215">
        <f t="shared" si="8"/>
        <v>414.78721016126417</v>
      </c>
      <c r="P49" s="140">
        <f t="shared" si="11"/>
        <v>127.62683389577353</v>
      </c>
      <c r="Q49" s="190"/>
      <c r="R49" s="141">
        <f t="shared" si="14"/>
        <v>5251.589434449972</v>
      </c>
      <c r="S49" s="194">
        <f t="shared" si="16"/>
        <v>690.99860979604864</v>
      </c>
      <c r="T49" s="166">
        <f t="shared" si="12"/>
        <v>4879.8321823796987</v>
      </c>
      <c r="U49" s="215">
        <f t="shared" si="13"/>
        <v>528.41070160874312</v>
      </c>
      <c r="V49" s="140">
        <f t="shared" si="15"/>
        <v>162.58790818730552</v>
      </c>
    </row>
    <row r="50" spans="3:22" x14ac:dyDescent="0.3">
      <c r="C50" s="211">
        <f t="shared" si="17"/>
        <v>98</v>
      </c>
      <c r="D50" s="209">
        <v>7.1000000000000032</v>
      </c>
      <c r="F50" s="141">
        <f t="shared" si="5"/>
        <v>3347.9363796409848</v>
      </c>
      <c r="G50" s="189">
        <f t="shared" si="6"/>
        <v>471.54033516070189</v>
      </c>
      <c r="H50" s="166">
        <f t="shared" si="1"/>
        <v>3077.7437675939027</v>
      </c>
      <c r="I50" s="215">
        <f t="shared" si="2"/>
        <v>360.58966806406619</v>
      </c>
      <c r="J50" s="140">
        <f t="shared" si="4"/>
        <v>110.9506670966357</v>
      </c>
      <c r="K50" s="190"/>
      <c r="L50" s="141">
        <f t="shared" si="9"/>
        <v>3830.5279791308021</v>
      </c>
      <c r="M50" s="194">
        <f t="shared" si="10"/>
        <v>539.51098297616909</v>
      </c>
      <c r="N50" s="166">
        <f t="shared" si="7"/>
        <v>3521.3881858854575</v>
      </c>
      <c r="O50" s="215">
        <f t="shared" si="8"/>
        <v>412.56722227589404</v>
      </c>
      <c r="P50" s="140">
        <f t="shared" si="11"/>
        <v>126.94376070027505</v>
      </c>
      <c r="Q50" s="190"/>
      <c r="R50" s="141">
        <f t="shared" si="14"/>
        <v>4879.8321823796987</v>
      </c>
      <c r="S50" s="194">
        <f t="shared" si="16"/>
        <v>687.30030737742209</v>
      </c>
      <c r="T50" s="166">
        <f t="shared" si="12"/>
        <v>4486.0091062524361</v>
      </c>
      <c r="U50" s="215">
        <f t="shared" si="13"/>
        <v>525.58258799449925</v>
      </c>
      <c r="V50" s="140">
        <f t="shared" si="15"/>
        <v>161.71771938292284</v>
      </c>
    </row>
    <row r="51" spans="3:22" x14ac:dyDescent="0.3">
      <c r="C51" s="211">
        <f t="shared" si="17"/>
        <v>99</v>
      </c>
      <c r="D51" s="209">
        <v>6.7000000000000028</v>
      </c>
      <c r="F51" s="141">
        <f t="shared" si="5"/>
        <v>3077.7437675939027</v>
      </c>
      <c r="G51" s="189">
        <f t="shared" si="6"/>
        <v>459.36474143192561</v>
      </c>
      <c r="H51" s="166">
        <f t="shared" si="1"/>
        <v>2801.6655579933154</v>
      </c>
      <c r="I51" s="215">
        <f t="shared" si="2"/>
        <v>351.27891991853136</v>
      </c>
      <c r="J51" s="140">
        <f t="shared" si="4"/>
        <v>108.08582151339425</v>
      </c>
      <c r="K51" s="190"/>
      <c r="L51" s="141">
        <f t="shared" si="9"/>
        <v>3521.3881858854575</v>
      </c>
      <c r="M51" s="194">
        <f t="shared" si="10"/>
        <v>525.58032625156056</v>
      </c>
      <c r="N51" s="166">
        <f t="shared" si="7"/>
        <v>3205.5144098082696</v>
      </c>
      <c r="O51" s="215">
        <f t="shared" si="8"/>
        <v>401.91436713354636</v>
      </c>
      <c r="P51" s="140">
        <f t="shared" si="11"/>
        <v>123.6659591180142</v>
      </c>
      <c r="Q51" s="190"/>
      <c r="R51" s="141">
        <f t="shared" si="14"/>
        <v>4486.0091062524361</v>
      </c>
      <c r="S51" s="194">
        <f t="shared" si="16"/>
        <v>669.55359794812455</v>
      </c>
      <c r="T51" s="166">
        <f t="shared" si="12"/>
        <v>4083.6073938856134</v>
      </c>
      <c r="U51" s="215">
        <f t="shared" si="13"/>
        <v>512.01157490150706</v>
      </c>
      <c r="V51" s="140">
        <f t="shared" si="15"/>
        <v>157.54202304661749</v>
      </c>
    </row>
    <row r="52" spans="3:22" x14ac:dyDescent="0.3">
      <c r="C52" s="211">
        <f t="shared" si="17"/>
        <v>100</v>
      </c>
      <c r="D52" s="209">
        <v>6.3000000000000025</v>
      </c>
      <c r="F52" s="141">
        <f t="shared" si="5"/>
        <v>2801.6655579933154</v>
      </c>
      <c r="G52" s="189">
        <f t="shared" si="6"/>
        <v>444.70881872909752</v>
      </c>
      <c r="H52" s="166">
        <f t="shared" si="1"/>
        <v>2521.9437110127133</v>
      </c>
      <c r="I52" s="215">
        <f t="shared" si="2"/>
        <v>340.07144961636874</v>
      </c>
      <c r="J52" s="140">
        <f t="shared" si="4"/>
        <v>104.63736911272878</v>
      </c>
      <c r="K52" s="190"/>
      <c r="L52" s="141">
        <f t="shared" si="9"/>
        <v>3205.5144098082696</v>
      </c>
      <c r="M52" s="194">
        <f t="shared" si="10"/>
        <v>508.8118110806775</v>
      </c>
      <c r="N52" s="166">
        <f t="shared" si="7"/>
        <v>2885.4717806385238</v>
      </c>
      <c r="O52" s="215">
        <f t="shared" si="8"/>
        <v>389.09138494404755</v>
      </c>
      <c r="P52" s="140">
        <f t="shared" si="11"/>
        <v>119.72042613662995</v>
      </c>
      <c r="Q52" s="190"/>
      <c r="R52" s="141">
        <f t="shared" si="14"/>
        <v>4083.6073938856134</v>
      </c>
      <c r="S52" s="194">
        <f t="shared" si="16"/>
        <v>648.19164982311304</v>
      </c>
      <c r="T52" s="166">
        <f t="shared" si="12"/>
        <v>3675.8948461468758</v>
      </c>
      <c r="U52" s="215">
        <f t="shared" si="13"/>
        <v>495.67596751179235</v>
      </c>
      <c r="V52" s="140">
        <f t="shared" si="15"/>
        <v>152.51568231132069</v>
      </c>
    </row>
    <row r="53" spans="3:22" ht="15" thickBot="1" x14ac:dyDescent="0.35">
      <c r="C53" s="211">
        <f t="shared" si="17"/>
        <v>101</v>
      </c>
      <c r="D53" s="209">
        <v>5.9000000000000021</v>
      </c>
      <c r="F53" s="198">
        <f t="shared" si="5"/>
        <v>2521.9437110127133</v>
      </c>
      <c r="G53" s="199">
        <f t="shared" si="6"/>
        <v>427.44808661232412</v>
      </c>
      <c r="H53" s="187">
        <f t="shared" si="1"/>
        <v>2241.1103181084168</v>
      </c>
      <c r="I53" s="216">
        <f t="shared" si="2"/>
        <v>326.87206623295378</v>
      </c>
      <c r="J53" s="188">
        <f t="shared" si="4"/>
        <v>100.57602037937033</v>
      </c>
      <c r="K53" s="190"/>
      <c r="L53" s="198">
        <f t="shared" si="9"/>
        <v>2885.4717806385238</v>
      </c>
      <c r="M53" s="200">
        <f t="shared" si="10"/>
        <v>489.06301366754622</v>
      </c>
      <c r="N53" s="187">
        <f t="shared" si="7"/>
        <v>2564.1573806589458</v>
      </c>
      <c r="O53" s="216">
        <f t="shared" si="8"/>
        <v>373.98936339282949</v>
      </c>
      <c r="P53" s="188">
        <f t="shared" si="11"/>
        <v>115.07365027471673</v>
      </c>
      <c r="Q53" s="190"/>
      <c r="R53" s="198">
        <f t="shared" si="14"/>
        <v>3675.8948461468758</v>
      </c>
      <c r="S53" s="200">
        <f t="shared" si="16"/>
        <v>623.03302477065665</v>
      </c>
      <c r="T53" s="187">
        <f t="shared" si="12"/>
        <v>3266.5621488725546</v>
      </c>
      <c r="U53" s="216">
        <f t="shared" si="13"/>
        <v>476.43701894226689</v>
      </c>
      <c r="V53" s="188">
        <f t="shared" si="15"/>
        <v>146.59600582838976</v>
      </c>
    </row>
  </sheetData>
  <mergeCells count="11">
    <mergeCell ref="F5:J5"/>
    <mergeCell ref="L5:P5"/>
    <mergeCell ref="R5:V5"/>
    <mergeCell ref="AD7:AF7"/>
    <mergeCell ref="X5:Z5"/>
    <mergeCell ref="AA5:AC5"/>
    <mergeCell ref="AD5:AF5"/>
    <mergeCell ref="X6:Z6"/>
    <mergeCell ref="AA6:AC6"/>
    <mergeCell ref="AD6:AF6"/>
    <mergeCell ref="AA7:AC7"/>
  </mergeCells>
  <pageMargins left="0.7" right="0.7" top="0.75" bottom="0.75" header="0.3" footer="0.3"/>
  <pageSetup scale="64" fitToHeight="0" orientation="landscape" r:id="rId1"/>
  <headerFooter>
    <oddHeade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2"/>
  <sheetViews>
    <sheetView showGridLines="0" zoomScale="80" zoomScaleNormal="80" workbookViewId="0">
      <selection activeCell="L7" sqref="L7"/>
    </sheetView>
  </sheetViews>
  <sheetFormatPr defaultRowHeight="14.4" x14ac:dyDescent="0.3"/>
  <cols>
    <col min="1" max="1" width="3" customWidth="1"/>
    <col min="2" max="2" width="82.5546875" style="5" customWidth="1"/>
  </cols>
  <sheetData>
    <row r="1" spans="2:7" ht="28.8" x14ac:dyDescent="0.55000000000000004">
      <c r="B1" s="274" t="s">
        <v>155</v>
      </c>
    </row>
    <row r="3" spans="2:7" ht="19.8" x14ac:dyDescent="0.3">
      <c r="B3" s="173" t="s">
        <v>119</v>
      </c>
    </row>
    <row r="4" spans="2:7" ht="15" x14ac:dyDescent="0.3">
      <c r="B4" s="81" t="s">
        <v>83</v>
      </c>
    </row>
    <row r="5" spans="2:7" ht="28.8" x14ac:dyDescent="0.3">
      <c r="B5" s="5" t="s">
        <v>84</v>
      </c>
    </row>
    <row r="6" spans="2:7" ht="28.8" x14ac:dyDescent="0.3">
      <c r="B6" s="114" t="s">
        <v>85</v>
      </c>
    </row>
    <row r="7" spans="2:7" ht="43.2" x14ac:dyDescent="0.3">
      <c r="B7" s="5" t="s">
        <v>86</v>
      </c>
    </row>
    <row r="8" spans="2:7" ht="45" x14ac:dyDescent="0.3">
      <c r="B8" s="81" t="s">
        <v>87</v>
      </c>
    </row>
    <row r="9" spans="2:7" ht="19.8" x14ac:dyDescent="0.3">
      <c r="B9" s="173" t="s">
        <v>88</v>
      </c>
    </row>
    <row r="10" spans="2:7" ht="90" x14ac:dyDescent="0.3">
      <c r="B10" s="81" t="s">
        <v>89</v>
      </c>
    </row>
    <row r="11" spans="2:7" ht="75" x14ac:dyDescent="0.3">
      <c r="B11" s="115" t="s">
        <v>120</v>
      </c>
    </row>
    <row r="12" spans="2:7" ht="81" customHeight="1" x14ac:dyDescent="0.3">
      <c r="B12" s="81" t="s">
        <v>90</v>
      </c>
      <c r="C12" s="415"/>
      <c r="D12" s="415"/>
      <c r="E12" s="415"/>
      <c r="F12" s="415"/>
      <c r="G12" s="415"/>
    </row>
  </sheetData>
  <mergeCells count="1">
    <mergeCell ref="C12:G12"/>
  </mergeCells>
  <hyperlinks>
    <hyperlink ref="B6" r:id="rId1" display="https://www.fool.com/retirement/plans/roth-ira/conversion/"/>
  </hyperlinks>
  <pageMargins left="0.7" right="0.7" top="0.75" bottom="0.75" header="0.3" footer="0.3"/>
  <pageSetup scale="88"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A63ECD27EB76469AF5A6651F7FFCF3" ma:contentTypeVersion="0" ma:contentTypeDescription="Create a new document." ma:contentTypeScope="" ma:versionID="072f4bae16ef4195407b87eec50bbe6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EA06D-8090-4049-A194-F6E40150D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9D8BABF-9659-4D6F-918F-8560CC768ED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C06EE30-A64C-4637-BBCC-34B18CEE3F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40</vt:i4>
      </vt:variant>
    </vt:vector>
  </HeadingPairs>
  <TitlesOfParts>
    <vt:vector size="50" baseType="lpstr">
      <vt:lpstr>IRS</vt:lpstr>
      <vt:lpstr>S&amp;P</vt:lpstr>
      <vt:lpstr>MaxPreTax IRA</vt:lpstr>
      <vt:lpstr>MaxPreTaxCalculations</vt:lpstr>
      <vt:lpstr>PreTax IRA Distribution</vt:lpstr>
      <vt:lpstr>Roth IRA</vt:lpstr>
      <vt:lpstr>RothCalculations</vt:lpstr>
      <vt:lpstr>ROTH Distribution</vt:lpstr>
      <vt:lpstr>Roth Info</vt:lpstr>
      <vt:lpstr>401k Calculator</vt:lpstr>
      <vt:lpstr>RothCalculations!CumList</vt:lpstr>
      <vt:lpstr>CumList</vt:lpstr>
      <vt:lpstr>'MaxPreTax IRA'!CurrentAge</vt:lpstr>
      <vt:lpstr>'Roth IRA'!CurrentAge</vt:lpstr>
      <vt:lpstr>CurrentAge</vt:lpstr>
      <vt:lpstr>'MaxPreTax IRA'!EmployerInitialCont</vt:lpstr>
      <vt:lpstr>'Roth IRA'!EmployerInitialCont</vt:lpstr>
      <vt:lpstr>EmployerInitialCont</vt:lpstr>
      <vt:lpstr>'MaxPreTax IRA'!EmployerMatchRate</vt:lpstr>
      <vt:lpstr>'Roth IRA'!EmployerMatchRate</vt:lpstr>
      <vt:lpstr>EmployerMatchRate</vt:lpstr>
      <vt:lpstr>'MaxPreTax IRA'!EmployerMatchUpTo</vt:lpstr>
      <vt:lpstr>'Roth IRA'!EmployerMatchUpTo</vt:lpstr>
      <vt:lpstr>EmployerMatchUpTo</vt:lpstr>
      <vt:lpstr>'MaxPreTax IRA'!IncomeIncreaseRate</vt:lpstr>
      <vt:lpstr>'Roth IRA'!IncomeIncreaseRate</vt:lpstr>
      <vt:lpstr>IncomeIncreaseRate</vt:lpstr>
      <vt:lpstr>'MaxPreTax IRA'!InitialBalance</vt:lpstr>
      <vt:lpstr>'Roth IRA'!InitialBalance</vt:lpstr>
      <vt:lpstr>InitialBalance</vt:lpstr>
      <vt:lpstr>'MaxPreTax IRA'!InitialIncome</vt:lpstr>
      <vt:lpstr>'Roth IRA'!InitialIncome</vt:lpstr>
      <vt:lpstr>InitialIncome</vt:lpstr>
      <vt:lpstr>'MaxPreTax IRA'!InterestRate</vt:lpstr>
      <vt:lpstr>'Roth IRA'!InterestRate</vt:lpstr>
      <vt:lpstr>InterestRate</vt:lpstr>
      <vt:lpstr>'MaxPreTax IRA'!PaymentsPerYear</vt:lpstr>
      <vt:lpstr>'Roth IRA'!PaymentsPerYear</vt:lpstr>
      <vt:lpstr>PaymentsPerYear</vt:lpstr>
      <vt:lpstr>'MaxPreTax IRA'!Print_Area</vt:lpstr>
      <vt:lpstr>'Roth IRA'!Print_Area</vt:lpstr>
      <vt:lpstr>'MaxPreTax IRA'!RetirementAge</vt:lpstr>
      <vt:lpstr>'Roth IRA'!RetirementAge</vt:lpstr>
      <vt:lpstr>RetirementAge</vt:lpstr>
      <vt:lpstr>'MaxPreTax IRA'!WithheldRate</vt:lpstr>
      <vt:lpstr>'Roth IRA'!WithheldRate</vt:lpstr>
      <vt:lpstr>WithheldRate</vt:lpstr>
      <vt:lpstr>'MaxPreTax IRA'!YourInitialCont</vt:lpstr>
      <vt:lpstr>'Roth IRA'!YourInitialCont</vt:lpstr>
      <vt:lpstr>YourInitialCont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Windows User</cp:lastModifiedBy>
  <cp:lastPrinted>2021-03-17T02:25:50Z</cp:lastPrinted>
  <dcterms:created xsi:type="dcterms:W3CDTF">2009-03-13T11:56:29Z</dcterms:created>
  <dcterms:modified xsi:type="dcterms:W3CDTF">2021-04-04T22:37:46Z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0x010100B1A63ECD27EB76469AF5A6651F7FFCF3</vt:lpwstr>
  </property>
</Properties>
</file>